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20" windowHeight="7404" activeTab="10"/>
  </bookViews>
  <sheets>
    <sheet name="ნაკრები" sheetId="1" r:id="rId1"/>
    <sheet name="ლ. #1" sheetId="2" r:id="rId2"/>
    <sheet name="ლ. #2" sheetId="3" r:id="rId3"/>
    <sheet name="ლ. #3" sheetId="4" r:id="rId4"/>
    <sheet name="ლ. #4" sheetId="5" r:id="rId5"/>
    <sheet name="ლ. #5" sheetId="6" r:id="rId6"/>
    <sheet name="ლ. #6" sheetId="7" r:id="rId7"/>
    <sheet name="ლ. #7" sheetId="8" r:id="rId8"/>
    <sheet name="ლ. #8" sheetId="9" r:id="rId9"/>
    <sheet name="ლ. #9" sheetId="10" r:id="rId10"/>
    <sheet name="ლ. #10" sheetId="11" r:id="rId11"/>
  </sheets>
  <definedNames>
    <definedName name="_xlnm.Print_Area" localSheetId="1">'ლ. #1'!$A$1:$I$25</definedName>
    <definedName name="_xlnm.Print_Area" localSheetId="10">'ლ. #10'!$A$1:$I$64</definedName>
    <definedName name="_xlnm.Print_Area" localSheetId="2">'ლ. #2'!$A$1:$I$79</definedName>
    <definedName name="_xlnm.Print_Area" localSheetId="3">'ლ. #3'!$A$1:$I$45</definedName>
    <definedName name="_xlnm.Print_Area" localSheetId="4">'ლ. #4'!$A$1:$I$94</definedName>
    <definedName name="_xlnm.Print_Area" localSheetId="5">'ლ. #5'!$A$1:$I$75</definedName>
    <definedName name="_xlnm.Print_Area" localSheetId="6">'ლ. #6'!$A$1:$I$51</definedName>
    <definedName name="_xlnm.Print_Area" localSheetId="7">'ლ. #7'!$A$1:$I$27</definedName>
    <definedName name="_xlnm.Print_Area" localSheetId="8">'ლ. #8'!$A$1:$I$36</definedName>
    <definedName name="_xlnm.Print_Area" localSheetId="9">'ლ. #9'!$A$1:$I$32</definedName>
    <definedName name="_xlnm.Print_Area" localSheetId="0">'ნაკრები'!$A$1:$D$33</definedName>
  </definedNames>
  <calcPr fullCalcOnLoad="1"/>
</workbook>
</file>

<file path=xl/sharedStrings.xml><?xml version="1.0" encoding="utf-8"?>
<sst xmlns="http://schemas.openxmlformats.org/spreadsheetml/2006/main" count="1033" uniqueCount="404">
  <si>
    <t>#</t>
  </si>
  <si>
    <t>jami</t>
  </si>
  <si>
    <t>jami:</t>
  </si>
  <si>
    <t>masala</t>
  </si>
  <si>
    <t>xelfasi</t>
  </si>
  <si>
    <t>kv.m</t>
  </si>
  <si>
    <t>grZ.m</t>
  </si>
  <si>
    <t>samuSaoebis CamonaTvali</t>
  </si>
  <si>
    <t>raod.</t>
  </si>
  <si>
    <t>erT. fasi</t>
  </si>
  <si>
    <t>სამუშაოთა დასახელება</t>
  </si>
  <si>
    <t xml:space="preserve">ganz.erT. </t>
  </si>
  <si>
    <t>kub.m</t>
  </si>
  <si>
    <t xml:space="preserve"> jami:</t>
  </si>
  <si>
    <t>lokaluri  ხარჯთაღრიცხვა №1</t>
  </si>
  <si>
    <t>1. Tavis jami:</t>
  </si>
  <si>
    <t>2. Tavis jami:</t>
  </si>
  <si>
    <t>3. Tavis jami:</t>
  </si>
  <si>
    <t>სამუშაოთა ღირებულება                                                         (ლარში)</t>
  </si>
  <si>
    <t>შიდა მოსაპირკეთებელი სამუშაოები</t>
  </si>
  <si>
    <t>გრძ.მ</t>
  </si>
  <si>
    <t>t</t>
  </si>
  <si>
    <t>სამშენებლო სამუშაოები</t>
  </si>
  <si>
    <t>სამშენებლო - მოსაპირკეთებელი სამუშაოები</t>
  </si>
  <si>
    <t>შედგინა:</t>
  </si>
  <si>
    <t>ლ. ხაჭაპურიძე</t>
  </si>
  <si>
    <t>კვ.მ</t>
  </si>
  <si>
    <t>ც</t>
  </si>
  <si>
    <t>კუბ.მ</t>
  </si>
  <si>
    <t>ხის მასალა</t>
  </si>
  <si>
    <t>სახურავზე ონდოლინის ფილა</t>
  </si>
  <si>
    <t>დამხმარე მასალები: ლურსმანი, საკიდი, საკეტი</t>
  </si>
  <si>
    <t>კომპ</t>
  </si>
  <si>
    <r>
      <t>ბეტონი B</t>
    </r>
    <r>
      <rPr>
        <sz val="11"/>
        <color indexed="8"/>
        <rFont val="Arial"/>
        <family val="2"/>
      </rPr>
      <t>B</t>
    </r>
    <r>
      <rPr>
        <sz val="11"/>
        <color indexed="8"/>
        <rFont val="AcadNusx"/>
        <family val="0"/>
      </rPr>
      <t>25</t>
    </r>
  </si>
  <si>
    <t>საყალიბე მასალა (fleivudi, xis koWebi, liTonis dgarebi)</t>
  </si>
  <si>
    <t>სულ jami:</t>
  </si>
  <si>
    <t>Tavi 1.  სამშენებლო სამუშაოები (რკ.ბეტონის კარკასი)</t>
  </si>
  <si>
    <t>გრუნტის მოჭრა ექსკავატორით (საძირკვლები, შენობის ტერიტორიის მოსწორება)</t>
  </si>
  <si>
    <t>kg</t>
  </si>
  <si>
    <t>Tavi 2.  kedlebis da tixrebis amoSeneba</t>
  </si>
  <si>
    <t>c</t>
  </si>
  <si>
    <t>cementi</t>
  </si>
  <si>
    <t>cali</t>
  </si>
  <si>
    <t>pompis momsaxureba</t>
  </si>
  <si>
    <t>dRe</t>
  </si>
  <si>
    <t>xarjTaRricxva #1</t>
  </si>
  <si>
    <t>xarjTaRricxva #2</t>
  </si>
  <si>
    <t>lokaluri  ხარჯთაღრიცხვა №2</t>
  </si>
  <si>
    <t>wert</t>
  </si>
  <si>
    <t>1. - 2. Tavebis  jami:</t>
  </si>
  <si>
    <t>კგ</t>
  </si>
  <si>
    <t>wyalemulsiis saRebavi</t>
  </si>
  <si>
    <t>წებოცემენტი</t>
  </si>
  <si>
    <t>შემავსებელი (ფუგა), პლასმასის ჯვარედინები</t>
  </si>
  <si>
    <t>კომპ.</t>
  </si>
  <si>
    <t>Tavi 2.  iatakebi</t>
  </si>
  <si>
    <t>დამხმარე მასალები</t>
  </si>
  <si>
    <t>Tavi 3.  Werebi</t>
  </si>
  <si>
    <t>ანტიკოროზიული ზეთოვანი საღებავი</t>
  </si>
  <si>
    <t>4. Tavis jami:</t>
  </si>
  <si>
    <t>5. Tavis jami:</t>
  </si>
  <si>
    <t>lokaluri  ხარჯთაღრიცხვა №3</t>
  </si>
  <si>
    <t>xarjTaRricxva #3</t>
  </si>
  <si>
    <t>xarjTaRricxva #4</t>
  </si>
  <si>
    <t>xarjTaRricxva #5</t>
  </si>
  <si>
    <t>xarjTaRricxva #6</t>
  </si>
  <si>
    <t>xarjTaRricxva #7</t>
  </si>
  <si>
    <t>xarjTaRricxva #8</t>
  </si>
  <si>
    <t>xarjTaRricxva #9</t>
  </si>
  <si>
    <t>lokaluri  ხარჯთაღრიცხვა №4</t>
  </si>
  <si>
    <t>Tavi 1.  Sida el.gayvanilobis samuSaoebi</t>
  </si>
  <si>
    <t>Tavi 2.  instalaciebi</t>
  </si>
  <si>
    <t>lokaluri  ხარჯთაღრიცხვა №5</t>
  </si>
  <si>
    <t>lokaluri  ხარჯთაღრიცხვა №6</t>
  </si>
  <si>
    <t>Tavi 1.  kanalizaciis gayvanilobis mowyoba (vertikaluru dgarebis CaTvliT)</t>
  </si>
  <si>
    <t>kanalizaciis plastmasis milebis montaJi d-100</t>
  </si>
  <si>
    <t>kanalizaciis plastmasis milebis montaJi d-50</t>
  </si>
  <si>
    <t>Tavi 2.  wyalsadenis gayvanilobis mowyoba</t>
  </si>
  <si>
    <t xml:space="preserve">wyalsaden-kanalizaciis samontaJo samuSaoebis xelfasi </t>
  </si>
  <si>
    <t>ქვიშა</t>
  </si>
  <si>
    <t>ცემენტი</t>
  </si>
  <si>
    <t>ტ</t>
  </si>
  <si>
    <t>lokaluri  ხარჯთაღრიცხვა №7</t>
  </si>
  <si>
    <t>lokaluri  ხარჯთაღრიცხვა №8</t>
  </si>
  <si>
    <t>lokaluri  ხარჯთაღრიცხვა №9</t>
  </si>
  <si>
    <t>ფითხი (კნაუფი)</t>
  </si>
  <si>
    <t>ქვიშანარევი ღორღი</t>
  </si>
  <si>
    <t>qviSa</t>
  </si>
  <si>
    <t>Tavi 1. ფასადის მოსაპირკეთებელი სამუშაოები</t>
  </si>
  <si>
    <t>damuSaveba fasadis fiTxiT da SeRebva maRalxarisxovani wyalemulsiis saRebaviT</t>
  </si>
  <si>
    <t>fasadis fiTxi</t>
  </si>
  <si>
    <t>xaraCos daSla-awyoba</t>
  </si>
  <si>
    <t xml:space="preserve">saketi, სახელური </t>
  </si>
  <si>
    <t>zednadebi xarjebi</t>
  </si>
  <si>
    <t>gegmiuri dagroveba</t>
  </si>
  <si>
    <t>dRg</t>
  </si>
  <si>
    <t>zedmeti gruntis daTvirTva a/T-ze, gatana</t>
  </si>
  <si>
    <t>praimeri</t>
  </si>
  <si>
    <t>linikromi (I piri) ori fena</t>
  </si>
  <si>
    <t>damxmare masalebi (Txvadi gazi)</t>
  </si>
  <si>
    <t>gruntis ukuCayra, Catkepvna</t>
  </si>
  <si>
    <t>saxuravზე ჰიდროიზოლაცის მოწყობის სამუშაოები</t>
  </si>
  <si>
    <t>Tavi 1.  saxuravზე ჰიდროიზოლაცის მოწყობის სამუშაოები</t>
  </si>
  <si>
    <t>ცალი</t>
  </si>
  <si>
    <t>ტრაპების მოწყობა</t>
  </si>
  <si>
    <t>ტრაპი (საწვიმარი, მართკუთხედი)</t>
  </si>
  <si>
    <t>წყალგამშვები პლასმასის მუხლი  დ-100</t>
  </si>
  <si>
    <t>ლიფტის მოწყობა, შიდა კიბის მოსაპირკეთებელი სამუშაოები</t>
  </si>
  <si>
    <t xml:space="preserve">ლითონის კარები  </t>
  </si>
  <si>
    <t>Tavi 2. შიდა კიბის მოპირკეთება</t>
  </si>
  <si>
    <r>
      <t xml:space="preserve">1. - </t>
    </r>
    <r>
      <rPr>
        <b/>
        <sz val="11"/>
        <rFont val="AcadNusx"/>
        <family val="0"/>
      </rPr>
      <t xml:space="preserve">2. </t>
    </r>
    <r>
      <rPr>
        <b/>
        <sz val="11"/>
        <color indexed="8"/>
        <rFont val="AcadNusx"/>
        <family val="0"/>
      </rPr>
      <t xml:space="preserve"> Tavebis  jami:</t>
    </r>
  </si>
  <si>
    <t>საქართველოს ლიფტების კომპანია 595 65 79 79</t>
  </si>
  <si>
    <t>ფასადის მოსაპირკეთება, პანდუსების და გარე კიბეების მოპირკეთება</t>
  </si>
  <si>
    <t>kanalizaciis plastmasis milebis montaJi d-150</t>
  </si>
  <si>
    <t>fasonuri nawilebi d-150</t>
  </si>
  <si>
    <t>fasonuri nawilebi d-100</t>
  </si>
  <si>
    <t>fasonuri nawilebi d-50</t>
  </si>
  <si>
    <t>damxmare masalebi (silikoni)</t>
  </si>
  <si>
    <t>gare da შიდა წყალსადენ-კანალიზაცია, ინსტალაციები</t>
  </si>
  <si>
    <t>1. - 3. Tavebis  jami:</t>
  </si>
  <si>
    <r>
      <t xml:space="preserve">pl. mili </t>
    </r>
    <r>
      <rPr>
        <sz val="11"/>
        <color indexed="8"/>
        <rFont val="Arial"/>
        <family val="2"/>
      </rPr>
      <t xml:space="preserve">PN25   </t>
    </r>
    <r>
      <rPr>
        <sz val="11"/>
        <color indexed="8"/>
        <rFont val="AcadNusx"/>
        <family val="0"/>
      </rPr>
      <t>d-20 mm</t>
    </r>
  </si>
  <si>
    <t>pl. mili armirebuli d-20 mm</t>
  </si>
  <si>
    <r>
      <t xml:space="preserve">pl. mili </t>
    </r>
    <r>
      <rPr>
        <sz val="11"/>
        <color indexed="8"/>
        <rFont val="Arial"/>
        <family val="2"/>
      </rPr>
      <t xml:space="preserve">PN25   </t>
    </r>
    <r>
      <rPr>
        <sz val="11"/>
        <color indexed="8"/>
        <rFont val="AcadNusx"/>
        <family val="0"/>
      </rPr>
      <t>d-25 mm</t>
    </r>
  </si>
  <si>
    <t>pl. mili armirebuli d-25 mm</t>
  </si>
  <si>
    <r>
      <t xml:space="preserve">pl. mili </t>
    </r>
    <r>
      <rPr>
        <sz val="11"/>
        <color indexed="8"/>
        <rFont val="Arial"/>
        <family val="2"/>
      </rPr>
      <t xml:space="preserve">PN25   </t>
    </r>
    <r>
      <rPr>
        <sz val="11"/>
        <color indexed="8"/>
        <rFont val="AcadNusx"/>
        <family val="0"/>
      </rPr>
      <t>d-32 mm</t>
    </r>
  </si>
  <si>
    <t>pl. mili armirebuli d-32 mm</t>
  </si>
  <si>
    <r>
      <t xml:space="preserve">pl. mili </t>
    </r>
    <r>
      <rPr>
        <sz val="11"/>
        <color indexed="8"/>
        <rFont val="Arial"/>
        <family val="2"/>
      </rPr>
      <t xml:space="preserve">PN25   </t>
    </r>
    <r>
      <rPr>
        <sz val="11"/>
        <color indexed="8"/>
        <rFont val="AcadNusx"/>
        <family val="0"/>
      </rPr>
      <t>d-40 mm</t>
    </r>
  </si>
  <si>
    <t>pl. mili armirebuli d-40 mm</t>
  </si>
  <si>
    <t>fitingi d-20-40 mm</t>
  </si>
  <si>
    <t>pl. ventili qromirebuli d-20</t>
  </si>
  <si>
    <t>pl. ventili sferuli d-20</t>
  </si>
  <si>
    <t>pl. ventili sferuli d-25</t>
  </si>
  <si>
    <t>pl. ventili sferuli d-40</t>
  </si>
  <si>
    <t>ventili 3/8"</t>
  </si>
  <si>
    <t>შიდა ელ.გაყვანილობის სამუშაოები, ინსტალაციები; სუსტი დენები</t>
  </si>
  <si>
    <t>1. - 4. Tavebis  jami:</t>
  </si>
  <si>
    <t>sanaTi 1X100</t>
  </si>
  <si>
    <r>
      <t xml:space="preserve">sanaTi </t>
    </r>
    <r>
      <rPr>
        <sz val="11"/>
        <color indexed="8"/>
        <rFont val="Adobe Myungjo Std M"/>
        <family val="1"/>
      </rPr>
      <t>HCПO-9-200</t>
    </r>
  </si>
  <si>
    <t>luminicirebuli sanaTi 4X18</t>
  </si>
  <si>
    <t>liftis el fari</t>
  </si>
  <si>
    <r>
      <t xml:space="preserve">kanalizaciis plastmasis mili             d-100  </t>
    </r>
    <r>
      <rPr>
        <sz val="11"/>
        <color indexed="8"/>
        <rFont val="Arial"/>
        <family val="2"/>
      </rPr>
      <t xml:space="preserve"> DIZAYN     3.000 </t>
    </r>
    <r>
      <rPr>
        <sz val="11"/>
        <color indexed="8"/>
        <rFont val="AcadMtavr"/>
        <family val="0"/>
      </rPr>
      <t>m</t>
    </r>
  </si>
  <si>
    <t>liTonis kuTxovana 32X32</t>
  </si>
  <si>
    <t>milis samagrebi d-100 (liTonis)</t>
  </si>
  <si>
    <t>xarjTaRricxva #10</t>
  </si>
  <si>
    <t>ტერიტორიის კეთილმოწყობა</t>
  </si>
  <si>
    <t>საფუძველი: მუშა ნახაზები</t>
  </si>
  <si>
    <t>gauTvaliswinebeli xarjebi</t>
  </si>
  <si>
    <t xml:space="preserve"> satransporto xarjebi masalebze</t>
  </si>
  <si>
    <t>gruntis da mcenareuli fenis moWra</t>
  </si>
  <si>
    <t>zedmeti gruntis datvirTva a/T-ze, meqanizaciis gamoyenebiT</t>
  </si>
  <si>
    <t>teritoriis moSandakeba-planireba</t>
  </si>
  <si>
    <t>teritoriis moxreSva, datkepvna</t>
  </si>
  <si>
    <t>xreSi 20-80</t>
  </si>
  <si>
    <t>Tavi 1. gruntis samuSaoebi</t>
  </si>
  <si>
    <t>RorRis mosamzadebeli fena datkepniT</t>
  </si>
  <si>
    <t xml:space="preserve">RorRi,  fraqcia 0-40 </t>
  </si>
  <si>
    <r>
      <t xml:space="preserve">betoni </t>
    </r>
    <r>
      <rPr>
        <sz val="11"/>
        <color indexed="8"/>
        <rFont val="Arial"/>
        <family val="2"/>
      </rPr>
      <t>B22.5</t>
    </r>
  </si>
  <si>
    <t>betonis zedapiris daWra da Sevseba poliureTanis pastiT</t>
  </si>
  <si>
    <t>poliureTanis pasta</t>
  </si>
  <si>
    <t>Tavi 3. teritoriis gamwvaneba</t>
  </si>
  <si>
    <t>betonis bordiurebis mowyoba</t>
  </si>
  <si>
    <t>betonis bori 50*23*12</t>
  </si>
  <si>
    <t>betonis xsnari</t>
  </si>
  <si>
    <t>niadagis momz. xeliT Cv. gazonis  mosawyobad 32sm tyis fenis SetaniT</t>
  </si>
  <si>
    <t>mcenareuli miwa</t>
  </si>
  <si>
    <t>gazonis Tesli</t>
  </si>
  <si>
    <t>Tavi 4. Senobis gare perimetrze qvafenilis dageba, saniaRvre cxauris mowyoba</t>
  </si>
  <si>
    <t>qvafenilis dageba</t>
  </si>
  <si>
    <t>Tavi 5. gare ganaTeba</t>
  </si>
  <si>
    <t>gare ganaTebis boZebis mowyoba, ledsanaTebiT</t>
  </si>
  <si>
    <t>gare ganaTebis boZi</t>
  </si>
  <si>
    <t>ledsanaTi</t>
  </si>
  <si>
    <t>sadeni 4*2 ormagi izolaciiT</t>
  </si>
  <si>
    <t>damiwebis konturi</t>
  </si>
  <si>
    <r>
      <t xml:space="preserve">1. - </t>
    </r>
    <r>
      <rPr>
        <b/>
        <sz val="11"/>
        <rFont val="AcadNusx"/>
        <family val="0"/>
      </rPr>
      <t xml:space="preserve">5. </t>
    </r>
    <r>
      <rPr>
        <b/>
        <sz val="11"/>
        <color indexed="8"/>
        <rFont val="AcadNusx"/>
        <family val="0"/>
      </rPr>
      <t xml:space="preserve"> Tavebis  jami:</t>
    </r>
  </si>
  <si>
    <t>armaturis bade d-6, biji 20sm</t>
  </si>
  <si>
    <t>saniaRvre Rari cxauriT</t>
  </si>
  <si>
    <t>mosamzadebeli samuSaoebi: droebiTi Robis mowyoba, teritoriis ganaTeba, droebiTi Senobebi</t>
  </si>
  <si>
    <t>Tavi 1.  sayaraulos, sasawyobes da droebiTi saofise nagebobebi</t>
  </si>
  <si>
    <t>sawyobis მოწყობა ხით</t>
  </si>
  <si>
    <t>komp</t>
  </si>
  <si>
    <t xml:space="preserve">xarjTaRricxvis # </t>
  </si>
  <si>
    <t>saxuravze  qv.cementis mWimis mowyoba, daxrebis gaTvaliswinebiT</t>
  </si>
  <si>
    <t>orTqlis izolacia, ruberoidi (parapetze asvliT 20sm)</t>
  </si>
  <si>
    <r>
      <t>Tboizolaciis mowyoba X</t>
    </r>
    <r>
      <rPr>
        <sz val="11"/>
        <color indexed="8"/>
        <rFont val="Arial"/>
        <family val="2"/>
      </rPr>
      <t>PS</t>
    </r>
    <r>
      <rPr>
        <sz val="11"/>
        <color indexed="8"/>
        <rFont val="AcadNusx"/>
        <family val="0"/>
      </rPr>
      <t>-iT sisqiT 5 sm</t>
    </r>
  </si>
  <si>
    <r>
      <t xml:space="preserve">Tboizolaca </t>
    </r>
    <r>
      <rPr>
        <sz val="11"/>
        <color indexed="8"/>
        <rFont val="Arial"/>
        <family val="2"/>
      </rPr>
      <t xml:space="preserve">XPS </t>
    </r>
    <r>
      <rPr>
        <sz val="11"/>
        <color indexed="8"/>
        <rFont val="AcadNusx"/>
        <family val="0"/>
      </rPr>
      <t>sisqiT 5 sm</t>
    </r>
  </si>
  <si>
    <t>webo</t>
  </si>
  <si>
    <t>plasmasis armirebuli bade</t>
  </si>
  <si>
    <t>penetroni</t>
  </si>
  <si>
    <t>keramzitis fenis mowyoba 12sm</t>
  </si>
  <si>
    <t>polimeruli membranas mowyoba (parapetze asvliT 110sm)</t>
  </si>
  <si>
    <t>geoteqstili simkvriviT 350-400 g/kv.m (parapetze asvliT 110sm)</t>
  </si>
  <si>
    <t xml:space="preserve">პოლიურეთანის საგოზავი </t>
  </si>
  <si>
    <t>წყალგამშვები პლასმასის მილი  დ-100, samagrebis CaTvliT</t>
  </si>
  <si>
    <t xml:space="preserve">RorRi </t>
  </si>
  <si>
    <r>
      <t>არმატურა A</t>
    </r>
    <r>
      <rPr>
        <sz val="11"/>
        <color indexed="8"/>
        <rFont val="Arial"/>
        <family val="2"/>
      </rPr>
      <t>A-I   d-8</t>
    </r>
  </si>
  <si>
    <t>bloki 20X20X40</t>
  </si>
  <si>
    <r>
      <t>არმატურა A</t>
    </r>
    <r>
      <rPr>
        <sz val="11"/>
        <color indexed="8"/>
        <rFont val="Arial"/>
        <family val="2"/>
      </rPr>
      <t>A-I</t>
    </r>
  </si>
  <si>
    <t>parapetis mowyoba  blokiT</t>
  </si>
  <si>
    <t>Tavi 2.  წყალგამშვები სისტემის მოწყობა, saventilacio Saxtebis gadaxurva</t>
  </si>
  <si>
    <t>liTonis kuTxovana 50X50X3 mm</t>
  </si>
  <si>
    <t>foladis fila sisqiT 2mm</t>
  </si>
  <si>
    <t>kv</t>
  </si>
  <si>
    <t>damxmare masalebi: eleqtrodi, balgarkis qva</t>
  </si>
  <si>
    <t>liTonkonstruqciis SeRebva antikoroziuli zeTovani saRebaviT</t>
  </si>
  <si>
    <t>antikoroziuli zeTovani saRebavi</t>
  </si>
  <si>
    <t>Tavi 2. პანდუსის მოპირკეთება</t>
  </si>
  <si>
    <t>igives SeRebva antikoroziuli zeTovani saRebaviT</t>
  </si>
  <si>
    <t>Tavi 1. ლიფტის da travelatoris მონტაJი</t>
  </si>
  <si>
    <t>Sida kedlebis amoSeneba blokiT</t>
  </si>
  <si>
    <t>liTonis moajiris mowyoba</t>
  </si>
  <si>
    <t>liTonis moajiri</t>
  </si>
  <si>
    <t>bazaltboWkovani bade d-4mm, biji 20 sm</t>
  </si>
  <si>
    <t>Slaki</t>
  </si>
  <si>
    <t>Tavi 4.  kar-fanjrebi, Sida da gare vitraJebi</t>
  </si>
  <si>
    <t>qvis laqi</t>
  </si>
  <si>
    <t>grunti</t>
  </si>
  <si>
    <t>ლითონის erTfrTiani კარების montaJi, დამუშავება da შეღებვა ანტიკოროზიული ზეთოვანი საღებავით</t>
  </si>
  <si>
    <t>sayaraulo jixuri 2.4X5.4 m (litonkonstruqcia, sendviCpanelebi)</t>
  </si>
  <si>
    <t>saventilacio Saxtebis gadaxurvis mowyoba liTonkonstruqciiT 7 cali</t>
  </si>
  <si>
    <t>სახურავის ჰიდოიზოლაცია (ვენტილაციის შახტების გადახურვა)</t>
  </si>
  <si>
    <t>mosamzadebeli samuSaoebi: teritoriis ganaTeba, droebiTi Senobebi</t>
  </si>
  <si>
    <t>RorRisa mosamzadebeli fenebis mowyoba, hidroizolaciis CaTvliT (saZirkvlebis da filis qveS)</t>
  </si>
  <si>
    <t>hidroizolacia</t>
  </si>
  <si>
    <t>რკ.ბეტონის diafragmebis მოწყობა (diaf. 1, 2)</t>
  </si>
  <si>
    <t>რკ.ბეტონის kolonebis მოწყობა (kolona 1, -  9.)</t>
  </si>
  <si>
    <t xml:space="preserve">რკ.ბეტონის monoliTuri kedlebis მოწყობა </t>
  </si>
  <si>
    <r>
      <t xml:space="preserve">არმატურა </t>
    </r>
    <r>
      <rPr>
        <sz val="11"/>
        <color indexed="8"/>
        <rFont val="Arial"/>
        <family val="2"/>
      </rPr>
      <t>A-III  d-12</t>
    </r>
  </si>
  <si>
    <t xml:space="preserve">რკ.ბეტონის filebis მოწყობა </t>
  </si>
  <si>
    <t xml:space="preserve">რკ.ბეტონის rigelebis მოწყობა </t>
  </si>
  <si>
    <t xml:space="preserve">რკ.ბეტონის kibeebis მოწყობა </t>
  </si>
  <si>
    <t>tixrebis da Saxtebis amoSeneba blokiT</t>
  </si>
  <si>
    <t>tixris bloki 10X20X40</t>
  </si>
  <si>
    <r>
      <t>არმატურა A</t>
    </r>
    <r>
      <rPr>
        <sz val="11"/>
        <color indexed="8"/>
        <rFont val="Arial"/>
        <family val="2"/>
      </rPr>
      <t>A-III    (</t>
    </r>
    <r>
      <rPr>
        <sz val="11"/>
        <color indexed="8"/>
        <rFont val="AcadNusx"/>
        <family val="0"/>
      </rPr>
      <t>zRudarebi)</t>
    </r>
  </si>
  <si>
    <t>Tavi 1.  kedlebi</t>
  </si>
  <si>
    <t xml:space="preserve">კედლების da ferdoebis შელესვა გაჯით </t>
  </si>
  <si>
    <t>გაჯი</t>
  </si>
  <si>
    <t>ალუმინის კუთხოვანა (სამღებრო)</t>
  </si>
  <si>
    <t>კაც/ დღე</t>
  </si>
  <si>
    <t xml:space="preserve">Slakis ფენილი mWimის ქვეშ </t>
  </si>
  <si>
    <t>iatakis moWimva qv.cementis xsnariT (პომპის გამოყენებით)</t>
  </si>
  <si>
    <t>meTlaxis ფილები (ყინვაგამძლე)</t>
  </si>
  <si>
    <t>ჭერის შელესვა გაჯით კიბის უჯრედი, ტამბური</t>
  </si>
  <si>
    <t>gare მეტალოპლასმასი კარ-ფანჯრების montaJi</t>
  </si>
  <si>
    <t>ლითონის სადარბაზოს კარის ბლიკის მონტაჟი</t>
  </si>
  <si>
    <t>შიდა წყალსადენ-კანალიზაცია</t>
  </si>
  <si>
    <t>Tavi 2.  droebiTi ტუალეტის mowyoba (ბიოტვალეტი)</t>
  </si>
  <si>
    <t>ბიოტვალეტის მონტაჟი</t>
  </si>
  <si>
    <t>კერამოგრანიტის ფილა</t>
  </si>
  <si>
    <t>ვენტილაცია</t>
  </si>
  <si>
    <t>დამხმარე მუშის ხელფასი (4მუშა 1თვის განმავლობაში)</t>
  </si>
  <si>
    <t>შიდა ელ.გაყვანილობის სამუშაოები, ხანძარსაწინააღმდეგო, უსაფრთხოება</t>
  </si>
  <si>
    <t xml:space="preserve"> </t>
  </si>
  <si>
    <t>შავი გრუნტი</t>
  </si>
  <si>
    <t>qviSanarevi RorRi  20-40</t>
  </si>
  <si>
    <t>ჩამოსხმული ბეტონის ფილა sisqiT 8 sm (გამწვანებისთვის, ფიჭის მაგვარი)</t>
  </si>
  <si>
    <t>rk.betonis filis mowyoba (pandusi) sisqiT 18 sm</t>
  </si>
  <si>
    <t>გამწოვი არხული ვენტილატორი   Q=4000 მ3/სთ np=250 პა.</t>
  </si>
  <si>
    <t xml:space="preserve">ჰაერსატარი მოთუთიებული ფოლადი სისქით 0,6მმ       0.55                                       </t>
  </si>
  <si>
    <t xml:space="preserve">ცხაური 200X100  მმ                                                           </t>
  </si>
  <si>
    <t>დამხმარე და საინსტალაციო მასალები</t>
  </si>
  <si>
    <t>ხანძარ საწინააღმდეგო სარქველი 450X450  მმ</t>
  </si>
  <si>
    <t>ხმისდამხშობი 450X450  მმ</t>
  </si>
  <si>
    <t>კომპლ.</t>
  </si>
  <si>
    <r>
      <t>მ</t>
    </r>
    <r>
      <rPr>
        <vertAlign val="superscript"/>
        <sz val="11"/>
        <color indexed="8"/>
        <rFont val="Calibri"/>
        <family val="2"/>
      </rPr>
      <t>2</t>
    </r>
  </si>
  <si>
    <t>el.samontaJo samuSaoebi (mricxvelebidan binebamde, avtofarexis ganaTeba)</t>
  </si>
  <si>
    <t xml:space="preserve">SromiTi resursebi </t>
  </si>
  <si>
    <t>SromiTi resursebi (sadenebis da korobebis gayvana)</t>
  </si>
  <si>
    <r>
      <t>სადენი NA</t>
    </r>
    <r>
      <rPr>
        <sz val="11"/>
        <rFont val="Arial"/>
        <family val="2"/>
      </rPr>
      <t>YY 3x120+70</t>
    </r>
  </si>
  <si>
    <r>
      <t xml:space="preserve">გოფრე წითელი თურქული </t>
    </r>
    <r>
      <rPr>
        <sz val="11"/>
        <rFont val="Arial"/>
        <family val="2"/>
      </rPr>
      <t>STB 075</t>
    </r>
  </si>
  <si>
    <r>
      <t>ბუნიკი</t>
    </r>
    <r>
      <rPr>
        <sz val="11"/>
        <rFont val="Arial"/>
        <family val="2"/>
      </rPr>
      <t xml:space="preserve"> DL-70(PEOPLE)</t>
    </r>
  </si>
  <si>
    <r>
      <t>ბუნიკი</t>
    </r>
    <r>
      <rPr>
        <sz val="11"/>
        <rFont val="Arial"/>
        <family val="2"/>
      </rPr>
      <t xml:space="preserve"> DL-120(PEOPLE)</t>
    </r>
  </si>
  <si>
    <r>
      <t>დაბალი ძაბვის ქუროს ყელი</t>
    </r>
    <r>
      <rPr>
        <sz val="11"/>
        <rFont val="Arial"/>
        <family val="2"/>
      </rPr>
      <t xml:space="preserve"> SY-1/4-2 70-120(PEOPLE)</t>
    </r>
  </si>
  <si>
    <t>5 სექციანი 400 ა ძალოვანი კარადა</t>
  </si>
  <si>
    <t>გამაფრთხილებელი ლენტი (30 სმ)</t>
  </si>
  <si>
    <r>
      <t>სადენი</t>
    </r>
    <r>
      <rPr>
        <sz val="10"/>
        <color indexed="8"/>
        <rFont val="Times New Roman"/>
        <family val="1"/>
      </rPr>
      <t xml:space="preserve"> FLAT TWIN 2X10+6</t>
    </r>
  </si>
  <si>
    <r>
      <t>სადენი</t>
    </r>
    <r>
      <rPr>
        <sz val="10"/>
        <color indexed="8"/>
        <rFont val="Times New Roman"/>
        <family val="1"/>
      </rPr>
      <t xml:space="preserve"> NAYY 4X16</t>
    </r>
  </si>
  <si>
    <r>
      <t>ალუმინის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სადენი</t>
    </r>
    <r>
      <rPr>
        <sz val="10"/>
        <color indexed="8"/>
        <rFont val="Times New Roman"/>
        <family val="1"/>
      </rPr>
      <t xml:space="preserve"> 1x16</t>
    </r>
  </si>
  <si>
    <r>
      <t>სადენი</t>
    </r>
    <r>
      <rPr>
        <sz val="10"/>
        <color indexed="8"/>
        <rFont val="Times New Roman"/>
        <family val="1"/>
      </rPr>
      <t xml:space="preserve"> CYKYLO-F 2x2.5</t>
    </r>
  </si>
  <si>
    <r>
      <t>სადენი</t>
    </r>
    <r>
      <rPr>
        <sz val="10"/>
        <color indexed="8"/>
        <rFont val="Times New Roman"/>
        <family val="1"/>
      </rPr>
      <t xml:space="preserve"> CYKYLO-F 2x1.5</t>
    </r>
  </si>
  <si>
    <r>
      <t xml:space="preserve">120x70 </t>
    </r>
    <r>
      <rPr>
        <sz val="10"/>
        <color indexed="8"/>
        <rFont val="Sylfaen"/>
        <family val="1"/>
      </rPr>
      <t>საკაბელო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არხი</t>
    </r>
  </si>
  <si>
    <r>
      <t>სკოპი</t>
    </r>
    <r>
      <rPr>
        <sz val="10"/>
        <color indexed="8"/>
        <rFont val="Times New Roman"/>
        <family val="1"/>
      </rPr>
      <t xml:space="preserve"> F-10MM </t>
    </r>
    <r>
      <rPr>
        <sz val="10"/>
        <color indexed="8"/>
        <rFont val="Sylfaen"/>
        <family val="1"/>
      </rPr>
      <t>ბრტყელი</t>
    </r>
    <r>
      <rPr>
        <sz val="10"/>
        <color indexed="8"/>
        <rFont val="Times New Roman"/>
        <family val="1"/>
      </rPr>
      <t>(PEOPLE)</t>
    </r>
  </si>
  <si>
    <r>
      <t>დუბელ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შურუფი</t>
    </r>
    <r>
      <rPr>
        <sz val="10"/>
        <color indexed="8"/>
        <rFont val="Times New Roman"/>
        <family val="1"/>
      </rPr>
      <t xml:space="preserve"> 6X35</t>
    </r>
  </si>
  <si>
    <r>
      <t xml:space="preserve">MCB </t>
    </r>
    <r>
      <rPr>
        <sz val="10"/>
        <color indexed="8"/>
        <rFont val="Sylfaen"/>
        <family val="1"/>
      </rPr>
      <t>ავტომატი</t>
    </r>
    <r>
      <rPr>
        <sz val="10"/>
        <color indexed="8"/>
        <rFont val="Times New Roman"/>
        <family val="1"/>
      </rPr>
      <t xml:space="preserve"> DZ 2P 63A C 4.5KA(PEOPLE)</t>
    </r>
  </si>
  <si>
    <r>
      <t>ალუმინის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სადენი</t>
    </r>
    <r>
      <rPr>
        <sz val="10"/>
        <color indexed="8"/>
        <rFont val="Times New Roman"/>
        <family val="1"/>
      </rPr>
      <t xml:space="preserve"> 1x70</t>
    </r>
  </si>
  <si>
    <r>
      <t>ელ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სადენი</t>
    </r>
    <r>
      <rPr>
        <sz val="10"/>
        <color indexed="8"/>
        <rFont val="Times New Roman"/>
        <family val="1"/>
      </rPr>
      <t xml:space="preserve"> NAYY 4x70</t>
    </r>
  </si>
  <si>
    <r>
      <t xml:space="preserve">100x60 </t>
    </r>
    <r>
      <rPr>
        <sz val="10"/>
        <color indexed="8"/>
        <rFont val="Sylfaen"/>
        <family val="1"/>
      </rPr>
      <t>საკაბელო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არხი</t>
    </r>
  </si>
  <si>
    <r>
      <t xml:space="preserve">50X50 </t>
    </r>
    <r>
      <rPr>
        <sz val="10"/>
        <color indexed="8"/>
        <rFont val="Sylfaen"/>
        <family val="1"/>
      </rPr>
      <t>საკაბელო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არხი</t>
    </r>
  </si>
  <si>
    <r>
      <t xml:space="preserve">60x40 </t>
    </r>
    <r>
      <rPr>
        <sz val="10"/>
        <color indexed="8"/>
        <rFont val="Sylfaen"/>
        <family val="1"/>
      </rPr>
      <t>საკაბელო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არხი</t>
    </r>
  </si>
  <si>
    <r>
      <t>სადენი</t>
    </r>
    <r>
      <rPr>
        <sz val="10"/>
        <color indexed="8"/>
        <rFont val="Times New Roman"/>
        <family val="1"/>
      </rPr>
      <t xml:space="preserve"> HO3VVH2-F 2X1.5</t>
    </r>
  </si>
  <si>
    <r>
      <t>პლასტმასის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ჭანჭიკი</t>
    </r>
    <r>
      <rPr>
        <sz val="10"/>
        <color indexed="8"/>
        <rFont val="Times New Roman"/>
        <family val="1"/>
      </rPr>
      <t xml:space="preserve"> 6</t>
    </r>
  </si>
  <si>
    <r>
      <t>პლასტმასის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მარყუჟი</t>
    </r>
    <r>
      <rPr>
        <sz val="10"/>
        <color indexed="8"/>
        <rFont val="Times New Roman"/>
        <family val="1"/>
      </rPr>
      <t xml:space="preserve"> 4.8X250(PEOPLE)</t>
    </r>
  </si>
  <si>
    <r>
      <t>სენსორული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lfaen"/>
        <family val="1"/>
      </rPr>
      <t>ბრა</t>
    </r>
    <r>
      <rPr>
        <sz val="10"/>
        <color indexed="8"/>
        <rFont val="Times New Roman"/>
        <family val="1"/>
      </rPr>
      <t>(borsan)</t>
    </r>
  </si>
  <si>
    <r>
      <t>სადენი</t>
    </r>
    <r>
      <rPr>
        <sz val="10"/>
        <color indexed="8"/>
        <rFont val="Times New Roman"/>
        <family val="1"/>
      </rPr>
      <t xml:space="preserve"> HO5VV-F 5x10</t>
    </r>
  </si>
  <si>
    <t>Sekvra</t>
  </si>
  <si>
    <t>მეტრი</t>
  </si>
  <si>
    <t>შეკვრა</t>
  </si>
  <si>
    <t>Tavi 3.  ხანძარსაწინააღმდეგო სისტემები</t>
  </si>
  <si>
    <t>ფოლადის მილი დ25 კედლის სიქე 2.5მმ</t>
  </si>
  <si>
    <t>ფოლადის მილი დ32 კედლის სიქე 2.5მმ</t>
  </si>
  <si>
    <t>ფოლადის მილი დ50 კედლის სიქე 3მმ</t>
  </si>
  <si>
    <t>ფოლადის მილი დ65 კედლის სიქე 3მმ</t>
  </si>
  <si>
    <t>ფოლადის მილი დ100 კედლის სიქე 4მმ</t>
  </si>
  <si>
    <t>ფოლადის მილი დ80 კედლის სიქე 4მმ</t>
  </si>
  <si>
    <t>ფიტინგები 30%</t>
  </si>
  <si>
    <t>საკიდები 25მმ დან 100მმ</t>
  </si>
  <si>
    <t>კომპლ</t>
  </si>
  <si>
    <t>მილების შეღებვა</t>
  </si>
  <si>
    <t>დ-80  დ-100</t>
  </si>
  <si>
    <t>სახანძრო კარადა</t>
  </si>
  <si>
    <t>სველი განგაშის სარქველი, წლის ნაკადი რელე, ტესტირების და დაცლის ურდული, მანომეტრი, უკისარქველი</t>
  </si>
  <si>
    <t>მოძრავი სახანძრო ტექნიკის მისაერთებელი: სახანძრო სატუმბო სადგური, ჟოკეი ტუმბო, ავტომატური მართვის სადგური, მაფარტოვებელი ავზი ......</t>
  </si>
  <si>
    <t>საგანგაშო გქანათების ბლოკი, გამაფართოვებელი მოდული, ავარუილი გასასვლელების მოდულები</t>
  </si>
  <si>
    <t>კვამლის დეტექტორი</t>
  </si>
  <si>
    <t>სირენა, სახანძრო სიგნალიზაციის კაბელი, აკუმულატორი, სამაგრი ღილაკი და ღილაკის ძირი</t>
  </si>
  <si>
    <t>არასამისამართო დეტექტორების კომპლექტი, სადენების და ღილაკების ჩათვლით</t>
  </si>
  <si>
    <t>Tavi 3.   მრიცხველების კომპლექტი</t>
  </si>
  <si>
    <t>მრიცხველების კომპლექტი</t>
  </si>
  <si>
    <r>
      <t>შპს ,,</t>
    </r>
    <r>
      <rPr>
        <sz val="11"/>
        <rFont val="AcadNusx"/>
        <family val="0"/>
      </rPr>
      <t>მეტრიკ</t>
    </r>
    <r>
      <rPr>
        <sz val="11"/>
        <rFont val="Arial"/>
        <family val="2"/>
      </rPr>
      <t>"</t>
    </r>
  </si>
  <si>
    <r>
      <t xml:space="preserve">დამუშავებულია  2019 წ.   III კვარტლის  </t>
    </r>
    <r>
      <rPr>
        <sz val="11"/>
        <rFont val="AcadNusx"/>
        <family val="0"/>
      </rPr>
      <t>fasebSi</t>
    </r>
  </si>
  <si>
    <t>ქ.ზუგდიდი. კედიას ქ. N1. მრავალბინიანი საცხოვრებელი სახლის მშენებლობა</t>
  </si>
  <si>
    <t>&amp;</t>
  </si>
  <si>
    <t>ლოკალური  ხარჯთაღრიცხვა №10</t>
  </si>
  <si>
    <t>zedmeti gruntis gatana (7 reisi)</t>
  </si>
  <si>
    <t>saniaRvre Raris (cxauriT) mowyoba. პანდუსთან, კიბესთან</t>
  </si>
  <si>
    <t>Tavi 2. pandusis მოწყობა rk.betonis filiT, ტროტუარზე ბეტონის ქვაფენილის დაგება</t>
  </si>
  <si>
    <t>betonis bordiurebis mowyoba (ტროტუარი)</t>
  </si>
  <si>
    <t>ტროტუარზე ბეტონის ქვაფენილის დაგება</t>
  </si>
  <si>
    <t>ბეტონის ქვაფენილი სისქით 8 სმ</t>
  </si>
  <si>
    <t>მეშოკი</t>
  </si>
  <si>
    <t>შავიქვიშა (ზემოდან მოსაყრელი)</t>
  </si>
  <si>
    <t>ცემენტი (ზემოდან მოსაყრელი)</t>
  </si>
  <si>
    <t>betonis zedapiris daWra da Sevseba poliureTanis pastiT (პანდუსი)</t>
  </si>
  <si>
    <t>bazaltis Sublebi 1,5-2 სმ</t>
  </si>
  <si>
    <t>fasadis Selesva qv.cementis xsnariT (parapetis, Saxtebis da aivnis cokolebis CaTvliT)</t>
  </si>
  <si>
    <t>fasadis mopirkeTeba dekoratiuli (keramikuli) xelovnuri aguris filebiT</t>
  </si>
  <si>
    <t>dekoratiuli (keramikuli) aguris filebi</t>
  </si>
  <si>
    <t>Rarebis Semavsebali</t>
  </si>
  <si>
    <t>webocementi (yinvamedegi)</t>
  </si>
  <si>
    <r>
      <t xml:space="preserve">maRalxarisxovani wyalemulsiis fasadis saRebavi </t>
    </r>
    <r>
      <rPr>
        <sz val="11"/>
        <color indexed="8"/>
        <rFont val="Arial"/>
        <family val="2"/>
      </rPr>
      <t>RAL9001</t>
    </r>
  </si>
  <si>
    <t>ლითონის მოაჯირების მოწყობა, saxuravi (113.2*0.85მ), aivnebi (280*0.65მ)</t>
  </si>
  <si>
    <t>ლითონის მოაჯირების შეღებვა მაგნიტური დასხურების საამქროში</t>
  </si>
  <si>
    <t xml:space="preserve"> ventilacia</t>
  </si>
  <si>
    <t>Tavi 1. ავტოფარეხის ვენტილაცია</t>
  </si>
  <si>
    <t>Tavi 2. ბინების ventilacia</t>
  </si>
  <si>
    <r>
      <t xml:space="preserve">1. - </t>
    </r>
    <r>
      <rPr>
        <b/>
        <sz val="11"/>
        <rFont val="AcadNusx"/>
        <family val="0"/>
      </rPr>
      <t>2.</t>
    </r>
    <r>
      <rPr>
        <b/>
        <sz val="11"/>
        <color indexed="60"/>
        <rFont val="AcadNusx"/>
        <family val="0"/>
      </rPr>
      <t xml:space="preserve"> </t>
    </r>
    <r>
      <rPr>
        <b/>
        <sz val="11"/>
        <color indexed="8"/>
        <rFont val="AcadNusx"/>
        <family val="0"/>
      </rPr>
      <t xml:space="preserve"> Tavebis  jami:</t>
    </r>
  </si>
  <si>
    <t>moTuTiebuli Tunuqis furceli sisqiT 0.6mm (სამზარეულუს გამწოვები)</t>
  </si>
  <si>
    <t>გარე kedlis სანათი 1X100</t>
  </si>
  <si>
    <t>დამხმარე მუშის ხელფასი (რკ.ბეტონის და ბლოკის წყობის სამუშაოების განმავლობაში 4მუშა 10 თვის განმავლობაში)</t>
  </si>
  <si>
    <t>pandusis da gare kibis kedlebis ზედაპირის გასუფთავება დამუშავება ბეტონის ლაქით</t>
  </si>
  <si>
    <t>კვ</t>
  </si>
  <si>
    <t>გრუნტი, ბეტონის ლაქი</t>
  </si>
  <si>
    <t>betonis kedlebis da kolonebis gasufTaveba, dagruntva da dafarva qvis laqiT, ori piri                  (-2.80 ნიშნული ნალესობა და რკ.ბეტონის კოლონები)</t>
  </si>
  <si>
    <t>კედლების შელესვა ქვ.ცემენტის ხსნარით (-2.80 ნიშნული blokis wyoba)</t>
  </si>
  <si>
    <t>kedlebis SeRebva wyalemulsiis saRebaviT (tamburi, კიბის უჯრედი)</t>
  </si>
  <si>
    <t>კედლების დამუშავება ფითხით (tamburi, კიბის უჯრედი, დერეფნები)</t>
  </si>
  <si>
    <t>iatakis moWimva qv.cementis xsnariT, zedapiris moprialebiT (პომპის გამოყენებით) -2.80 niSnuli</t>
  </si>
  <si>
    <t>იატაკზე მეთლახის ფილების დაგება (აივნები)</t>
  </si>
  <si>
    <t>იატაკზე კერამოგრანიტის ფილების დაგება (დერეფნები, ტამბური)</t>
  </si>
  <si>
    <t>betonis Weris gasufTaveba, dagruntva da dafarva qvis laqiT, რიგელების ჩათვლით (ori piri) -2.8 niSnuli</t>
  </si>
  <si>
    <t>gare ალუმინის ვიტრაჟების montaJi (კარებების ჩათვლით)</t>
  </si>
  <si>
    <t>დამხმარე მუშის ხელფასი (4მუშა 6თვის განმავლობაში)</t>
  </si>
  <si>
    <t xml:space="preserve">ნაკრები  სახარჯთაღრიცხვო (წინასწარი) გაანგარიშება </t>
  </si>
  <si>
    <t>teritoriis ganaTeba (6 wert)</t>
  </si>
  <si>
    <t>mSeneblobis periobSi el.momsaxureba: droebiTi el.faris mowyoba, sarTulebze el.wertilebis mowyoba</t>
  </si>
  <si>
    <t>kac/ Tve</t>
  </si>
  <si>
    <t>Sromis usafrTxoebis dacva, rk.betonis filis perimetrze (yovel sarTulze, dasxmis Semdeg), kibis ujredis da liftis Saxtis Riobebis garSemo, damcavi moajiris da badeebis mowyoba (gadaadgilebadi Semdeg sarTulebze)</t>
  </si>
  <si>
    <t>sarT</t>
  </si>
  <si>
    <t>damcavi bade, samagrebiT</t>
  </si>
  <si>
    <t>damcavi moajiri (milkvadrati 40X40, xis ficari 200X30 mm</t>
  </si>
  <si>
    <r>
      <t>არმატურა A</t>
    </r>
    <r>
      <rPr>
        <sz val="11"/>
        <color indexed="8"/>
        <rFont val="Arial"/>
        <family val="2"/>
      </rPr>
      <t>A-III  d-16</t>
    </r>
  </si>
  <si>
    <r>
      <t>არმატურა A</t>
    </r>
    <r>
      <rPr>
        <sz val="11"/>
        <color indexed="8"/>
        <rFont val="Arial"/>
        <family val="2"/>
      </rPr>
      <t>A-III  d-25</t>
    </r>
  </si>
  <si>
    <r>
      <t>mosamz.  fena ბეტონი B</t>
    </r>
    <r>
      <rPr>
        <sz val="11"/>
        <color indexed="8"/>
        <rFont val="Arial"/>
        <family val="2"/>
      </rPr>
      <t>B1</t>
    </r>
    <r>
      <rPr>
        <sz val="11"/>
        <color indexed="8"/>
        <rFont val="AcadNusx"/>
        <family val="0"/>
      </rPr>
      <t>2,5</t>
    </r>
  </si>
  <si>
    <r>
      <t xml:space="preserve">არმატურა </t>
    </r>
    <r>
      <rPr>
        <sz val="11"/>
        <color indexed="8"/>
        <rFont val="Arial"/>
        <family val="2"/>
      </rPr>
      <t>A-III  d-14</t>
    </r>
  </si>
  <si>
    <r>
      <t xml:space="preserve">არმატურა </t>
    </r>
    <r>
      <rPr>
        <sz val="11"/>
        <color indexed="8"/>
        <rFont val="Arial"/>
        <family val="2"/>
      </rPr>
      <t>A-III  d-16</t>
    </r>
  </si>
  <si>
    <t>kedlebis hidroizolacia (-3.50 niSn.)</t>
  </si>
  <si>
    <r>
      <t xml:space="preserve">არმატურა </t>
    </r>
    <r>
      <rPr>
        <sz val="11"/>
        <color indexed="8"/>
        <rFont val="Arial"/>
        <family val="2"/>
      </rPr>
      <t>A-III  d-22</t>
    </r>
  </si>
  <si>
    <r>
      <t xml:space="preserve">არმატურა </t>
    </r>
    <r>
      <rPr>
        <sz val="11"/>
        <color indexed="8"/>
        <rFont val="Arial"/>
        <family val="2"/>
      </rPr>
      <t>A-III  d-25</t>
    </r>
  </si>
  <si>
    <r>
      <t xml:space="preserve">არმატურა </t>
    </r>
    <r>
      <rPr>
        <sz val="11"/>
        <color indexed="8"/>
        <rFont val="Arial"/>
        <family val="2"/>
      </rPr>
      <t>A-III  d-10</t>
    </r>
  </si>
  <si>
    <r>
      <t xml:space="preserve">არმატურა </t>
    </r>
    <r>
      <rPr>
        <sz val="11"/>
        <color indexed="8"/>
        <rFont val="Arial"/>
        <family val="2"/>
      </rPr>
      <t>A-III  d-18</t>
    </r>
  </si>
  <si>
    <t xml:space="preserve">liftis Saxtis რკ.ბეტონის saZirkvlis filis მოწყობა </t>
  </si>
  <si>
    <t xml:space="preserve">რკ.ბეტონის saZirkvlis filis მოწყობა -3.80 ნიშნულზე </t>
  </si>
  <si>
    <t xml:space="preserve">რკ.ბეტონის pandusis მოწყობა </t>
  </si>
  <si>
    <t xml:space="preserve">საყალიბე მასალა </t>
  </si>
  <si>
    <t xml:space="preserve">რკ.ბეტონის gare kibeebis მოწყობა </t>
  </si>
  <si>
    <r>
      <t>არმატურა A</t>
    </r>
    <r>
      <rPr>
        <sz val="11"/>
        <color indexed="8"/>
        <rFont val="Arial"/>
        <family val="2"/>
      </rPr>
      <t>A-III   d-10</t>
    </r>
  </si>
  <si>
    <t>Werebis SeRebva wyalemulsiis saRebaviT (tamburi, derefani, kibis ujredi)</t>
  </si>
  <si>
    <t>Werebis დამუშავება ფითხით (tamburi, derefani, kibis ujredi)</t>
  </si>
  <si>
    <t>TabaSir/muyaos fila</t>
  </si>
  <si>
    <t>aleminis profilebi</t>
  </si>
  <si>
    <t>damxmare masalebi: TviTwbadi bade, TviTmWreli, sakidebi</t>
  </si>
  <si>
    <t>Werebis mowyoba TabaSir-muyaos filebiT (tamburi, derefani)</t>
  </si>
  <si>
    <t>penoplastis karnizis mowyoba h-5-8 sm. (webo)</t>
  </si>
  <si>
    <t>იატაკზე marmarilos ფილების დაგება (baqani liftis win, 0.00 niSnulze)</t>
  </si>
  <si>
    <t>armarilos ფილები sisqiT 3sm</t>
  </si>
  <si>
    <t>კედლების დამუშავება miunxenis ფითხით (miunxeni, gruntis CaTvliT) (კიბის უჯრედი)</t>
  </si>
  <si>
    <t>miunxenis ფითხი</t>
  </si>
  <si>
    <t>პერიმეტრის შევსება იzობლოკით</t>
  </si>
  <si>
    <t>izobloki 20X20X40</t>
  </si>
  <si>
    <t>საყალიბე მასალა (fleivudi, xis koWebi, liTonis dgarebi, გამომწვარი მავთული)</t>
  </si>
  <si>
    <t>საფეხურების მოპირკეთება graniტის (iranuli warmoebis) ფილებით</t>
  </si>
  <si>
    <t>graniტის safexurebi 3 სმ</t>
  </si>
  <si>
    <t xml:space="preserve">graniტის ფილა 2-2,5 სმ, ბაქნები </t>
  </si>
  <si>
    <t>balaxis gazonis mowyoba beltebiT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</si>
</sst>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-* #,##0.0_р_._-;\-* #,##0.0_р_._-;_-* &quot;-&quot;??_р_._-;_-@_-"/>
    <numFmt numFmtId="198" formatCode="_-* #,##0_р_._-;\-* #,##0_р_._-;_-* &quot;-&quot;?_р_._-;_-@_-"/>
    <numFmt numFmtId="199" formatCode="_-* #,##0.0_р_._-;\-* #,##0.0_р_._-;_-* &quot;-&quot;?_р_._-;_-@_-"/>
    <numFmt numFmtId="200" formatCode="_-* #,##0.000_р_._-;\-* #,##0.000_р_._-;_-* &quot;-&quot;??_р_._-;_-@_-"/>
    <numFmt numFmtId="201" formatCode="_-* #,##0_р_._-;\-* #,##0_р_._-;_-* &quot;-&quot;??_р_._-;_-@_-"/>
    <numFmt numFmtId="202" formatCode="_(* #,##0.000_);_(* \(#,##0.000\);_(* &quot;-&quot;???_);_(@_)"/>
    <numFmt numFmtId="203" formatCode="_(* #,##0.0_);_(* \(#,##0.0\);_(* &quot;-&quot;?_);_(@_)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00_р_._-;\-* #,##0.000_р_._-;_-* &quot;-&quot;???_р_._-;_-@_-"/>
    <numFmt numFmtId="211" formatCode="0.0%"/>
  </numFmts>
  <fonts count="77">
    <font>
      <sz val="10"/>
      <name val="Arial"/>
      <family val="0"/>
    </font>
    <font>
      <sz val="12"/>
      <name val="AcadNusx"/>
      <family val="0"/>
    </font>
    <font>
      <b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cadNusx"/>
      <family val="0"/>
    </font>
    <font>
      <sz val="11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sz val="12"/>
      <name val="Arial"/>
      <family val="2"/>
    </font>
    <font>
      <sz val="11"/>
      <color indexed="8"/>
      <name val="AcadNusx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dobe Myungjo Std M"/>
      <family val="1"/>
    </font>
    <font>
      <b/>
      <sz val="11"/>
      <color indexed="60"/>
      <name val="AcadNusx"/>
      <family val="0"/>
    </font>
    <font>
      <sz val="11"/>
      <color indexed="8"/>
      <name val="AcadMtavr"/>
      <family val="0"/>
    </font>
    <font>
      <b/>
      <sz val="10"/>
      <name val="AcadMtavr"/>
      <family val="0"/>
    </font>
    <font>
      <sz val="10"/>
      <name val="AcadMtavr"/>
      <family val="0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Sylfaen"/>
      <family val="1"/>
    </font>
    <font>
      <sz val="10"/>
      <color indexed="8"/>
      <name val="Times New Roman"/>
      <family val="1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Mtavr"/>
      <family val="0"/>
    </font>
    <font>
      <b/>
      <sz val="10"/>
      <color indexed="8"/>
      <name val="AcadMtavr"/>
      <family val="0"/>
    </font>
    <font>
      <sz val="10"/>
      <color indexed="8"/>
      <name val="Calibri"/>
      <family val="2"/>
    </font>
    <font>
      <sz val="10"/>
      <color indexed="8"/>
      <name val="AcadNusx"/>
      <family val="0"/>
    </font>
    <font>
      <sz val="10"/>
      <name val="Calibri"/>
      <family val="2"/>
    </font>
    <font>
      <b/>
      <sz val="11"/>
      <color indexed="8"/>
      <name val="AcadMtav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Mtavr"/>
      <family val="0"/>
    </font>
    <font>
      <b/>
      <sz val="10"/>
      <color theme="1"/>
      <name val="AcadMtavr"/>
      <family val="0"/>
    </font>
    <font>
      <sz val="10"/>
      <color theme="1"/>
      <name val="Calibri"/>
      <family val="2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1"/>
      <color theme="1"/>
      <name val="AcadMtavr"/>
      <family val="0"/>
    </font>
    <font>
      <b/>
      <sz val="11"/>
      <color theme="1"/>
      <name val="AcadMtavr"/>
      <family val="0"/>
    </font>
    <font>
      <sz val="11"/>
      <color theme="1"/>
      <name val="Arial"/>
      <family val="2"/>
    </font>
    <font>
      <sz val="10"/>
      <color rgb="FF000000"/>
      <name val="Sylfae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65" fillId="0" borderId="10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188" fontId="6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88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196" fontId="67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188" fontId="65" fillId="0" borderId="0" xfId="0" applyNumberFormat="1" applyFont="1" applyFill="1" applyBorder="1" applyAlignment="1">
      <alignment horizontal="center" vertical="center" wrapText="1"/>
    </xf>
    <xf numFmtId="211" fontId="65" fillId="0" borderId="10" xfId="0" applyNumberFormat="1" applyFont="1" applyFill="1" applyBorder="1" applyAlignment="1">
      <alignment horizontal="center" vertical="center" wrapText="1"/>
    </xf>
    <xf numFmtId="188" fontId="66" fillId="0" borderId="11" xfId="0" applyNumberFormat="1" applyFont="1" applyFill="1" applyBorder="1" applyAlignment="1">
      <alignment horizontal="center" vertical="center" wrapText="1"/>
    </xf>
    <xf numFmtId="9" fontId="6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9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horizontal="center" vertical="center" wrapText="1"/>
    </xf>
    <xf numFmtId="188" fontId="6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196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2" fontId="70" fillId="0" borderId="10" xfId="42" applyNumberFormat="1" applyFont="1" applyFill="1" applyBorder="1" applyAlignment="1">
      <alignment horizontal="center" vertical="center" wrapText="1"/>
    </xf>
    <xf numFmtId="188" fontId="69" fillId="0" borderId="10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ill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left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7" fillId="0" borderId="13" xfId="0" applyNumberFormat="1" applyFont="1" applyFill="1" applyBorder="1" applyAlignment="1">
      <alignment horizontal="center" vertical="center"/>
    </xf>
    <xf numFmtId="188" fontId="66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right" vertical="center" wrapText="1"/>
    </xf>
    <xf numFmtId="188" fontId="65" fillId="0" borderId="12" xfId="0" applyNumberFormat="1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188" fontId="66" fillId="0" borderId="12" xfId="0" applyNumberFormat="1" applyFont="1" applyFill="1" applyBorder="1" applyAlignment="1">
      <alignment horizontal="center" vertical="center" wrapText="1"/>
    </xf>
    <xf numFmtId="188" fontId="66" fillId="0" borderId="14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88" fontId="70" fillId="0" borderId="10" xfId="42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88" fontId="12" fillId="4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2" fontId="67" fillId="7" borderId="10" xfId="0" applyNumberFormat="1" applyFont="1" applyFill="1" applyBorder="1" applyAlignment="1">
      <alignment horizontal="center" vertical="center"/>
    </xf>
    <xf numFmtId="188" fontId="66" fillId="7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188" fontId="16" fillId="0" borderId="10" xfId="0" applyNumberFormat="1" applyFont="1" applyFill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188" fontId="66" fillId="0" borderId="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vertical="center" wrapText="1"/>
    </xf>
    <xf numFmtId="188" fontId="65" fillId="7" borderId="10" xfId="0" applyNumberFormat="1" applyFont="1" applyFill="1" applyBorder="1" applyAlignment="1">
      <alignment horizontal="center" vertical="center" wrapText="1"/>
    </xf>
    <xf numFmtId="188" fontId="71" fillId="0" borderId="10" xfId="0" applyNumberFormat="1" applyFont="1" applyFill="1" applyBorder="1" applyAlignment="1">
      <alignment horizontal="center" vertical="center" wrapText="1"/>
    </xf>
    <xf numFmtId="188" fontId="72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2" fontId="7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96" fontId="71" fillId="0" borderId="10" xfId="0" applyNumberFormat="1" applyFont="1" applyFill="1" applyBorder="1" applyAlignment="1">
      <alignment horizontal="center" vertical="center" wrapText="1"/>
    </xf>
    <xf numFmtId="188" fontId="48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5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vertical="center" wrapText="1"/>
    </xf>
    <xf numFmtId="0" fontId="70" fillId="7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" fontId="73" fillId="0" borderId="10" xfId="57" applyNumberFormat="1" applyFont="1" applyFill="1" applyBorder="1" applyAlignment="1">
      <alignment horizontal="left" vertical="center" wrapText="1"/>
      <protection/>
    </xf>
    <xf numFmtId="0" fontId="6" fillId="33" borderId="10" xfId="58" applyNumberFormat="1" applyFont="1" applyFill="1" applyBorder="1" applyAlignment="1">
      <alignment horizontal="left" vertical="center" wrapText="1"/>
      <protection/>
    </xf>
    <xf numFmtId="0" fontId="9" fillId="33" borderId="10" xfId="58" applyNumberFormat="1" applyFont="1" applyFill="1" applyBorder="1" applyAlignment="1">
      <alignment horizontal="left" vertical="center" wrapText="1"/>
      <protection/>
    </xf>
    <xf numFmtId="0" fontId="46" fillId="34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6" fillId="33" borderId="10" xfId="57" applyFont="1" applyFill="1" applyBorder="1" applyAlignment="1">
      <alignment horizontal="center" vertical="center" wrapText="1"/>
      <protection/>
    </xf>
    <xf numFmtId="188" fontId="19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188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188" fontId="0" fillId="0" borderId="0" xfId="0" applyNumberForma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188" fontId="17" fillId="7" borderId="10" xfId="0" applyNumberFormat="1" applyFont="1" applyFill="1" applyBorder="1" applyAlignment="1">
      <alignment horizontal="center" vertical="center" wrapText="1"/>
    </xf>
    <xf numFmtId="2" fontId="44" fillId="7" borderId="10" xfId="0" applyNumberFormat="1" applyFont="1" applyFill="1" applyBorder="1" applyAlignment="1">
      <alignment horizontal="center" vertical="center"/>
    </xf>
    <xf numFmtId="188" fontId="16" fillId="7" borderId="10" xfId="0" applyNumberFormat="1" applyFont="1" applyFill="1" applyBorder="1" applyAlignment="1">
      <alignment horizontal="center" vertical="center" wrapText="1"/>
    </xf>
    <xf numFmtId="2" fontId="17" fillId="7" borderId="10" xfId="0" applyNumberFormat="1" applyFont="1" applyFill="1" applyBorder="1" applyAlignment="1">
      <alignment horizontal="center" vertical="center" wrapText="1"/>
    </xf>
    <xf numFmtId="188" fontId="12" fillId="16" borderId="10" xfId="0" applyNumberFormat="1" applyFont="1" applyFill="1" applyBorder="1" applyAlignment="1">
      <alignment horizontal="center" vertical="center"/>
    </xf>
    <xf numFmtId="1" fontId="67" fillId="7" borderId="1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1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88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center"/>
    </xf>
    <xf numFmtId="188" fontId="76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wrapText="1"/>
    </xf>
    <xf numFmtId="0" fontId="65" fillId="0" borderId="12" xfId="0" applyFont="1" applyFill="1" applyBorder="1" applyAlignment="1">
      <alignment wrapText="1"/>
    </xf>
    <xf numFmtId="0" fontId="65" fillId="0" borderId="14" xfId="0" applyFont="1" applyFill="1" applyBorder="1" applyAlignment="1">
      <alignment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32"/>
  <sheetViews>
    <sheetView zoomScale="80" zoomScaleNormal="80" zoomScaleSheetLayoutView="100" zoomScalePageLayoutView="0" workbookViewId="0" topLeftCell="A2">
      <selection activeCell="F22" sqref="F22"/>
    </sheetView>
  </sheetViews>
  <sheetFormatPr defaultColWidth="9.140625" defaultRowHeight="12.75"/>
  <cols>
    <col min="1" max="1" width="6.57421875" style="0" customWidth="1"/>
    <col min="2" max="2" width="71.7109375" style="0" customWidth="1"/>
    <col min="3" max="3" width="20.421875" style="0" customWidth="1"/>
    <col min="4" max="4" width="26.8515625" style="0" customWidth="1"/>
    <col min="5" max="5" width="14.57421875" style="0" customWidth="1"/>
    <col min="6" max="6" width="13.28125" style="0" customWidth="1"/>
  </cols>
  <sheetData>
    <row r="1" spans="1:4" ht="28.5" customHeight="1">
      <c r="A1" s="148" t="s">
        <v>320</v>
      </c>
      <c r="B1" s="148"/>
      <c r="C1" s="148"/>
      <c r="D1" s="148"/>
    </row>
    <row r="2" spans="1:4" ht="28.5" customHeight="1">
      <c r="A2" s="149" t="s">
        <v>23</v>
      </c>
      <c r="B2" s="148"/>
      <c r="C2" s="148"/>
      <c r="D2" s="148"/>
    </row>
    <row r="3" spans="1:4" ht="28.5" customHeight="1">
      <c r="A3" s="148" t="s">
        <v>362</v>
      </c>
      <c r="B3" s="148"/>
      <c r="C3" s="148"/>
      <c r="D3" s="148"/>
    </row>
    <row r="4" spans="1:4" ht="12" customHeight="1">
      <c r="A4" s="150"/>
      <c r="B4" s="150"/>
      <c r="C4" s="150"/>
      <c r="D4" s="150"/>
    </row>
    <row r="5" spans="1:4" ht="24" customHeight="1">
      <c r="A5" s="147" t="s">
        <v>319</v>
      </c>
      <c r="B5" s="147"/>
      <c r="C5" s="147"/>
      <c r="D5" s="147"/>
    </row>
    <row r="6" spans="1:4" ht="24" customHeight="1">
      <c r="A6" s="147" t="s">
        <v>145</v>
      </c>
      <c r="B6" s="147"/>
      <c r="C6" s="147"/>
      <c r="D6" s="147"/>
    </row>
    <row r="7" spans="1:4" ht="6.75" customHeight="1">
      <c r="A7" s="152"/>
      <c r="B7" s="152"/>
      <c r="C7" s="152"/>
      <c r="D7" s="152"/>
    </row>
    <row r="8" spans="1:4" ht="47.25" customHeight="1">
      <c r="A8" s="13" t="s">
        <v>0</v>
      </c>
      <c r="B8" s="7" t="s">
        <v>10</v>
      </c>
      <c r="C8" s="13" t="s">
        <v>181</v>
      </c>
      <c r="D8" s="6" t="s">
        <v>18</v>
      </c>
    </row>
    <row r="9" spans="1:4" ht="20.25" customHeight="1">
      <c r="A9" s="10">
        <v>1</v>
      </c>
      <c r="B9" s="10">
        <v>2</v>
      </c>
      <c r="C9" s="10">
        <v>3</v>
      </c>
      <c r="D9" s="10">
        <v>4</v>
      </c>
    </row>
    <row r="10" spans="1:6" ht="40.5" customHeight="1">
      <c r="A10" s="8">
        <v>1</v>
      </c>
      <c r="B10" s="15" t="s">
        <v>221</v>
      </c>
      <c r="C10" s="14" t="s">
        <v>45</v>
      </c>
      <c r="D10" s="67">
        <f>'ლ. #1'!I34</f>
        <v>0</v>
      </c>
      <c r="F10" s="96">
        <f>D10/6200/2.97</f>
        <v>0</v>
      </c>
    </row>
    <row r="11" spans="1:6" ht="40.5" customHeight="1">
      <c r="A11" s="8">
        <v>2</v>
      </c>
      <c r="B11" s="15" t="s">
        <v>22</v>
      </c>
      <c r="C11" s="14" t="s">
        <v>46</v>
      </c>
      <c r="D11" s="67">
        <f>'ლ. #2'!I122</f>
        <v>0</v>
      </c>
      <c r="F11" s="96">
        <f aca="true" t="shared" si="0" ref="F11:F19">D11/6200/2.97</f>
        <v>0</v>
      </c>
    </row>
    <row r="12" spans="1:6" ht="40.5" customHeight="1">
      <c r="A12" s="8">
        <v>3</v>
      </c>
      <c r="B12" s="15" t="s">
        <v>220</v>
      </c>
      <c r="C12" s="14" t="s">
        <v>62</v>
      </c>
      <c r="D12" s="67">
        <f>'ლ. #3'!I51</f>
        <v>0</v>
      </c>
      <c r="F12" s="96">
        <f t="shared" si="0"/>
        <v>0</v>
      </c>
    </row>
    <row r="13" spans="1:10" ht="40.5" customHeight="1">
      <c r="A13" s="8">
        <v>4</v>
      </c>
      <c r="B13" s="15" t="s">
        <v>19</v>
      </c>
      <c r="C13" s="14" t="s">
        <v>63</v>
      </c>
      <c r="D13" s="67">
        <f>'ლ. #4'!I93</f>
        <v>0</v>
      </c>
      <c r="F13" s="96">
        <f t="shared" si="0"/>
        <v>0</v>
      </c>
      <c r="G13" s="1"/>
      <c r="H13" s="1"/>
      <c r="I13" s="1"/>
      <c r="J13" s="123"/>
    </row>
    <row r="14" spans="1:10" ht="40.5" customHeight="1">
      <c r="A14" s="8">
        <v>5</v>
      </c>
      <c r="B14" s="15" t="s">
        <v>251</v>
      </c>
      <c r="C14" s="14" t="s">
        <v>64</v>
      </c>
      <c r="D14" s="67">
        <f>'ლ. #5'!I87</f>
        <v>0</v>
      </c>
      <c r="E14" s="90"/>
      <c r="F14" s="96">
        <f t="shared" si="0"/>
        <v>0</v>
      </c>
      <c r="G14" s="1"/>
      <c r="H14" s="123"/>
      <c r="I14" s="1"/>
      <c r="J14" s="123"/>
    </row>
    <row r="15" spans="1:10" ht="40.5" customHeight="1">
      <c r="A15" s="8">
        <v>6</v>
      </c>
      <c r="B15" s="15" t="s">
        <v>245</v>
      </c>
      <c r="C15" s="14" t="s">
        <v>65</v>
      </c>
      <c r="D15" s="67">
        <f>'ლ. #6'!I53</f>
        <v>0</v>
      </c>
      <c r="E15" s="90"/>
      <c r="F15" s="96">
        <f t="shared" si="0"/>
        <v>0</v>
      </c>
      <c r="G15" s="1"/>
      <c r="H15" s="123"/>
      <c r="I15" s="1"/>
      <c r="J15" s="1"/>
    </row>
    <row r="16" spans="1:10" ht="40.5" customHeight="1">
      <c r="A16" s="8">
        <v>7</v>
      </c>
      <c r="B16" s="15" t="s">
        <v>249</v>
      </c>
      <c r="C16" s="14" t="s">
        <v>66</v>
      </c>
      <c r="D16" s="67">
        <f>'ლ. #7'!I37</f>
        <v>0</v>
      </c>
      <c r="E16" s="90"/>
      <c r="F16" s="96">
        <f t="shared" si="0"/>
        <v>0</v>
      </c>
      <c r="G16" s="1"/>
      <c r="H16" s="123"/>
      <c r="I16" s="1"/>
      <c r="J16" s="1"/>
    </row>
    <row r="17" spans="1:10" ht="40.5" customHeight="1">
      <c r="A17" s="8">
        <v>8</v>
      </c>
      <c r="B17" s="15" t="s">
        <v>107</v>
      </c>
      <c r="C17" s="14" t="s">
        <v>67</v>
      </c>
      <c r="D17" s="67">
        <f>'ლ. #8'!I36</f>
        <v>0</v>
      </c>
      <c r="F17" s="96">
        <f t="shared" si="0"/>
        <v>0</v>
      </c>
      <c r="G17" s="1"/>
      <c r="H17" s="123"/>
      <c r="I17" s="1"/>
      <c r="J17" s="1"/>
    </row>
    <row r="18" spans="1:10" ht="40.5" customHeight="1">
      <c r="A18" s="8">
        <v>9</v>
      </c>
      <c r="B18" s="15" t="s">
        <v>112</v>
      </c>
      <c r="C18" s="14" t="s">
        <v>68</v>
      </c>
      <c r="D18" s="67">
        <f>'ლ. #9'!I42</f>
        <v>0</v>
      </c>
      <c r="F18" s="96">
        <f t="shared" si="0"/>
        <v>0</v>
      </c>
      <c r="G18" s="1"/>
      <c r="H18" s="123"/>
      <c r="I18" s="1"/>
      <c r="J18" s="1"/>
    </row>
    <row r="19" spans="1:11" ht="40.5" customHeight="1">
      <c r="A19" s="8">
        <v>10</v>
      </c>
      <c r="B19" s="15" t="s">
        <v>144</v>
      </c>
      <c r="C19" s="14" t="s">
        <v>143</v>
      </c>
      <c r="D19" s="67">
        <f>'ლ. #10'!I74</f>
        <v>0</v>
      </c>
      <c r="E19" s="100"/>
      <c r="F19" s="96">
        <f t="shared" si="0"/>
        <v>0</v>
      </c>
      <c r="G19" s="1"/>
      <c r="H19" s="123"/>
      <c r="I19" s="1"/>
      <c r="J19" s="1"/>
      <c r="K19" s="1"/>
    </row>
    <row r="20" spans="1:4" ht="6.75" customHeight="1">
      <c r="A20" s="8"/>
      <c r="B20" s="15"/>
      <c r="C20" s="14"/>
      <c r="D20" s="11"/>
    </row>
    <row r="21" spans="1:9" ht="42.75" customHeight="1">
      <c r="A21" s="12"/>
      <c r="B21" s="151" t="s">
        <v>2</v>
      </c>
      <c r="C21" s="151"/>
      <c r="D21" s="131">
        <f>SUM(D10:D20)</f>
        <v>0</v>
      </c>
      <c r="F21" s="96">
        <f>D21/(6200+1200)/2.97</f>
        <v>0</v>
      </c>
      <c r="G21" s="124" t="s">
        <v>321</v>
      </c>
      <c r="I21" s="134"/>
    </row>
    <row r="22" spans="1:4" ht="14.25" customHeight="1">
      <c r="A22" s="9"/>
      <c r="B22" s="9"/>
      <c r="C22" s="9"/>
      <c r="D22" s="9"/>
    </row>
    <row r="23" spans="1:4" ht="9.75" customHeight="1">
      <c r="A23" s="9"/>
      <c r="B23" s="34"/>
      <c r="C23" s="34"/>
      <c r="D23" s="34"/>
    </row>
    <row r="24" spans="1:4" ht="9.75" customHeight="1">
      <c r="A24" s="9"/>
      <c r="B24" s="34"/>
      <c r="C24" s="34"/>
      <c r="D24" s="34"/>
    </row>
    <row r="25" spans="1:4" ht="9.75" customHeight="1">
      <c r="A25" s="9"/>
      <c r="B25" s="34"/>
      <c r="C25" s="34"/>
      <c r="D25" s="34"/>
    </row>
    <row r="26" spans="1:4" ht="9.75" customHeight="1">
      <c r="A26" s="9"/>
      <c r="B26" s="34"/>
      <c r="C26" s="34"/>
      <c r="D26" s="34"/>
    </row>
    <row r="27" spans="1:4" ht="9.75" customHeight="1">
      <c r="A27" s="9"/>
      <c r="B27" s="34"/>
      <c r="C27" s="34"/>
      <c r="D27" s="34"/>
    </row>
    <row r="28" spans="1:4" s="32" customFormat="1" ht="21" customHeight="1">
      <c r="A28" s="31"/>
      <c r="B28" s="33" t="s">
        <v>318</v>
      </c>
      <c r="C28" s="33"/>
      <c r="D28" s="33"/>
    </row>
    <row r="29" spans="1:4" ht="4.5" customHeight="1">
      <c r="A29" s="9"/>
      <c r="B29" s="34"/>
      <c r="C29" s="34"/>
      <c r="D29" s="34"/>
    </row>
    <row r="30" spans="1:4" ht="9.75" customHeight="1">
      <c r="A30" s="9"/>
      <c r="B30" s="34"/>
      <c r="C30" s="34"/>
      <c r="D30" s="34"/>
    </row>
    <row r="31" spans="1:4" s="32" customFormat="1" ht="21" customHeight="1">
      <c r="A31" s="31"/>
      <c r="B31" s="33" t="s">
        <v>24</v>
      </c>
      <c r="C31" s="147" t="s">
        <v>25</v>
      </c>
      <c r="D31" s="147"/>
    </row>
    <row r="32" spans="1:4" ht="13.5">
      <c r="A32" s="9"/>
      <c r="B32" s="9"/>
      <c r="C32" s="9"/>
      <c r="D32" s="9"/>
    </row>
  </sheetData>
  <sheetProtection/>
  <mergeCells count="9">
    <mergeCell ref="C31:D31"/>
    <mergeCell ref="A1:D1"/>
    <mergeCell ref="A2:D2"/>
    <mergeCell ref="A3:D3"/>
    <mergeCell ref="A4:D4"/>
    <mergeCell ref="B21:C21"/>
    <mergeCell ref="A6:D6"/>
    <mergeCell ref="A7:D7"/>
    <mergeCell ref="A5:D5"/>
  </mergeCells>
  <printOptions/>
  <pageMargins left="0.69" right="0.196850393700787" top="0.68" bottom="0.275590551181102" header="0.31496062992126" footer="0.196850393700787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42"/>
  <sheetViews>
    <sheetView zoomScaleSheetLayoutView="100" zoomScalePageLayoutView="0" workbookViewId="0" topLeftCell="A25">
      <selection activeCell="C40" sqref="C40"/>
    </sheetView>
  </sheetViews>
  <sheetFormatPr defaultColWidth="9.140625" defaultRowHeight="12.75"/>
  <cols>
    <col min="1" max="1" width="3.57421875" style="1" customWidth="1"/>
    <col min="2" max="2" width="37.57421875" style="1" customWidth="1"/>
    <col min="3" max="3" width="8.7109375" style="1" customWidth="1"/>
    <col min="4" max="4" width="6.8515625" style="1" customWidth="1"/>
    <col min="5" max="5" width="8.28125" style="1" customWidth="1"/>
    <col min="6" max="6" width="9.7109375" style="1" customWidth="1"/>
    <col min="7" max="7" width="8.2812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84</v>
      </c>
      <c r="B3" s="158"/>
      <c r="C3" s="158"/>
      <c r="D3" s="158"/>
      <c r="E3" s="158"/>
      <c r="F3" s="158"/>
      <c r="G3" s="158"/>
      <c r="H3" s="158"/>
      <c r="I3" s="158"/>
    </row>
    <row r="4" spans="1:9" ht="21" customHeight="1">
      <c r="A4" s="159" t="s">
        <v>112</v>
      </c>
      <c r="B4" s="159"/>
      <c r="C4" s="159"/>
      <c r="D4" s="159"/>
      <c r="E4" s="159"/>
      <c r="F4" s="159"/>
      <c r="G4" s="159"/>
      <c r="H4" s="159"/>
      <c r="I4" s="159"/>
    </row>
    <row r="5" spans="1:9" ht="7.5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8.7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62" t="s">
        <v>9</v>
      </c>
      <c r="F7" s="62" t="s">
        <v>1</v>
      </c>
      <c r="G7" s="62" t="s">
        <v>9</v>
      </c>
      <c r="H7" s="62" t="s">
        <v>1</v>
      </c>
      <c r="I7" s="162"/>
    </row>
    <row r="8" spans="1:9" ht="14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</row>
    <row r="9" spans="1:9" ht="27.75" customHeight="1">
      <c r="A9" s="153" t="s">
        <v>88</v>
      </c>
      <c r="B9" s="154"/>
      <c r="C9" s="154"/>
      <c r="D9" s="154"/>
      <c r="E9" s="154"/>
      <c r="F9" s="154"/>
      <c r="G9" s="154"/>
      <c r="H9" s="154"/>
      <c r="I9" s="155"/>
    </row>
    <row r="10" spans="1:13" ht="48" customHeight="1">
      <c r="A10" s="122">
        <v>1</v>
      </c>
      <c r="B10" s="26" t="s">
        <v>334</v>
      </c>
      <c r="C10" s="122" t="s">
        <v>5</v>
      </c>
      <c r="D10" s="4">
        <v>5038</v>
      </c>
      <c r="E10" s="29"/>
      <c r="F10" s="5"/>
      <c r="G10" s="18"/>
      <c r="H10" s="5">
        <f>G10*D10</f>
        <v>0</v>
      </c>
      <c r="I10" s="5">
        <f aca="true" t="shared" si="0" ref="I10:I20">F10+H10</f>
        <v>0</v>
      </c>
      <c r="J10" s="21"/>
      <c r="K10" s="21"/>
      <c r="L10" s="21"/>
      <c r="M10" s="1"/>
    </row>
    <row r="11" spans="1:13" ht="21.75" customHeight="1">
      <c r="A11" s="122"/>
      <c r="B11" s="54" t="s">
        <v>87</v>
      </c>
      <c r="C11" s="122" t="s">
        <v>12</v>
      </c>
      <c r="D11" s="4">
        <f>D10*0.04</f>
        <v>201.52</v>
      </c>
      <c r="E11" s="18"/>
      <c r="F11" s="5">
        <f>E11*D11</f>
        <v>0</v>
      </c>
      <c r="G11" s="18"/>
      <c r="H11" s="5"/>
      <c r="I11" s="5">
        <f t="shared" si="0"/>
        <v>0</v>
      </c>
      <c r="J11" s="21"/>
      <c r="K11" s="21"/>
      <c r="L11" s="21"/>
      <c r="M11" s="1"/>
    </row>
    <row r="12" spans="1:13" ht="21.75" customHeight="1">
      <c r="A12" s="122"/>
      <c r="B12" s="54" t="s">
        <v>41</v>
      </c>
      <c r="C12" s="122" t="s">
        <v>21</v>
      </c>
      <c r="D12" s="4">
        <f>D11*0.35</f>
        <v>70.532</v>
      </c>
      <c r="E12" s="18"/>
      <c r="F12" s="5">
        <f>E12*D12</f>
        <v>0</v>
      </c>
      <c r="G12" s="18"/>
      <c r="H12" s="5"/>
      <c r="I12" s="5">
        <f t="shared" si="0"/>
        <v>0</v>
      </c>
      <c r="J12" s="21"/>
      <c r="K12" s="21"/>
      <c r="L12" s="21"/>
      <c r="M12" s="1"/>
    </row>
    <row r="13" spans="1:13" ht="48" customHeight="1">
      <c r="A13" s="122">
        <v>2</v>
      </c>
      <c r="B13" s="26" t="s">
        <v>340</v>
      </c>
      <c r="C13" s="122" t="s">
        <v>5</v>
      </c>
      <c r="D13" s="4">
        <f>21.4*0.85+48.8*8*0.65</f>
        <v>271.95</v>
      </c>
      <c r="E13" s="18"/>
      <c r="F13" s="5">
        <f>E13*D13</f>
        <v>0</v>
      </c>
      <c r="G13" s="18"/>
      <c r="H13" s="5">
        <f>G13*D13</f>
        <v>0</v>
      </c>
      <c r="I13" s="5">
        <f>F13+H13</f>
        <v>0</v>
      </c>
      <c r="J13" s="21"/>
      <c r="K13" s="21"/>
      <c r="L13" s="21"/>
      <c r="M13" s="1"/>
    </row>
    <row r="14" spans="1:13" ht="36.75" customHeight="1">
      <c r="A14" s="122">
        <v>3</v>
      </c>
      <c r="B14" s="26" t="s">
        <v>341</v>
      </c>
      <c r="C14" s="122" t="s">
        <v>5</v>
      </c>
      <c r="D14" s="4">
        <f>D13</f>
        <v>271.95</v>
      </c>
      <c r="E14" s="18"/>
      <c r="F14" s="5">
        <f>E14*D14</f>
        <v>0</v>
      </c>
      <c r="G14" s="18"/>
      <c r="H14" s="5"/>
      <c r="I14" s="5">
        <f>F14+H14</f>
        <v>0</v>
      </c>
      <c r="J14" s="21"/>
      <c r="K14" s="21"/>
      <c r="L14" s="21"/>
      <c r="M14" s="1"/>
    </row>
    <row r="15" spans="1:13" ht="49.5" customHeight="1">
      <c r="A15" s="122">
        <v>4</v>
      </c>
      <c r="B15" s="26" t="s">
        <v>89</v>
      </c>
      <c r="C15" s="122" t="s">
        <v>5</v>
      </c>
      <c r="D15" s="4">
        <f>D10-(D18+D26)</f>
        <v>4301.6</v>
      </c>
      <c r="E15" s="29"/>
      <c r="F15" s="5"/>
      <c r="G15" s="18"/>
      <c r="H15" s="5">
        <f>G15*D15</f>
        <v>0</v>
      </c>
      <c r="I15" s="5">
        <f t="shared" si="0"/>
        <v>0</v>
      </c>
      <c r="J15" s="21"/>
      <c r="K15" s="35"/>
      <c r="L15" s="21"/>
      <c r="M15" s="1"/>
    </row>
    <row r="16" spans="1:13" ht="21.75" customHeight="1">
      <c r="A16" s="122"/>
      <c r="B16" s="54" t="s">
        <v>90</v>
      </c>
      <c r="C16" s="122" t="s">
        <v>38</v>
      </c>
      <c r="D16" s="4">
        <f>D15*1.1</f>
        <v>4731.760000000001</v>
      </c>
      <c r="E16" s="18"/>
      <c r="F16" s="5">
        <f>E16*D16</f>
        <v>0</v>
      </c>
      <c r="G16" s="29"/>
      <c r="H16" s="5"/>
      <c r="I16" s="5">
        <f t="shared" si="0"/>
        <v>0</v>
      </c>
      <c r="J16" s="21"/>
      <c r="K16" s="21"/>
      <c r="L16" s="21"/>
      <c r="M16" s="1"/>
    </row>
    <row r="17" spans="1:13" ht="34.5" customHeight="1">
      <c r="A17" s="122"/>
      <c r="B17" s="54" t="s">
        <v>339</v>
      </c>
      <c r="C17" s="122" t="s">
        <v>5</v>
      </c>
      <c r="D17" s="4">
        <f>D15</f>
        <v>4301.6</v>
      </c>
      <c r="E17" s="18"/>
      <c r="F17" s="5">
        <f>E17*D17</f>
        <v>0</v>
      </c>
      <c r="G17" s="29"/>
      <c r="H17" s="5"/>
      <c r="I17" s="5">
        <f t="shared" si="0"/>
        <v>0</v>
      </c>
      <c r="J17" s="21"/>
      <c r="K17" s="21"/>
      <c r="L17" s="21"/>
      <c r="M17" s="1"/>
    </row>
    <row r="18" spans="1:13" ht="49.5" customHeight="1">
      <c r="A18" s="122">
        <v>5</v>
      </c>
      <c r="B18" s="26" t="s">
        <v>335</v>
      </c>
      <c r="C18" s="122" t="s">
        <v>5</v>
      </c>
      <c r="D18" s="4">
        <v>622</v>
      </c>
      <c r="E18" s="29"/>
      <c r="F18" s="5"/>
      <c r="G18" s="18"/>
      <c r="H18" s="5">
        <f>G18*D18</f>
        <v>0</v>
      </c>
      <c r="I18" s="5">
        <f t="shared" si="0"/>
        <v>0</v>
      </c>
      <c r="J18" s="21"/>
      <c r="K18" s="21"/>
      <c r="L18" s="21"/>
      <c r="M18" s="1"/>
    </row>
    <row r="19" spans="1:13" ht="33.75" customHeight="1">
      <c r="A19" s="122"/>
      <c r="B19" s="54" t="s">
        <v>336</v>
      </c>
      <c r="C19" s="122" t="s">
        <v>5</v>
      </c>
      <c r="D19" s="4">
        <f>D18*1.05</f>
        <v>653.1</v>
      </c>
      <c r="E19" s="18"/>
      <c r="F19" s="5">
        <f>E19*D19</f>
        <v>0</v>
      </c>
      <c r="G19" s="18"/>
      <c r="H19" s="5"/>
      <c r="I19" s="5">
        <f t="shared" si="0"/>
        <v>0</v>
      </c>
      <c r="J19" s="21"/>
      <c r="K19" s="21"/>
      <c r="L19" s="21"/>
      <c r="M19" s="1"/>
    </row>
    <row r="20" spans="1:9" ht="22.5" customHeight="1">
      <c r="A20" s="122"/>
      <c r="B20" s="36" t="s">
        <v>338</v>
      </c>
      <c r="C20" s="122" t="s">
        <v>38</v>
      </c>
      <c r="D20" s="3">
        <f>D18*7</f>
        <v>4354</v>
      </c>
      <c r="E20" s="18"/>
      <c r="F20" s="5">
        <f>E20*D20</f>
        <v>0</v>
      </c>
      <c r="G20" s="18"/>
      <c r="H20" s="5"/>
      <c r="I20" s="5">
        <f t="shared" si="0"/>
        <v>0</v>
      </c>
    </row>
    <row r="21" spans="1:9" ht="22.5" customHeight="1">
      <c r="A21" s="122"/>
      <c r="B21" s="36" t="s">
        <v>337</v>
      </c>
      <c r="C21" s="122" t="s">
        <v>5</v>
      </c>
      <c r="D21" s="3">
        <f>D18</f>
        <v>622</v>
      </c>
      <c r="E21" s="18"/>
      <c r="F21" s="5">
        <f>E21*D21</f>
        <v>0</v>
      </c>
      <c r="G21" s="18"/>
      <c r="H21" s="5"/>
      <c r="I21" s="5">
        <f>F21+H21</f>
        <v>0</v>
      </c>
    </row>
    <row r="22" spans="1:13" ht="30.75" customHeight="1">
      <c r="A22" s="122">
        <v>6</v>
      </c>
      <c r="B22" s="26" t="s">
        <v>91</v>
      </c>
      <c r="C22" s="122" t="s">
        <v>5</v>
      </c>
      <c r="D22" s="4">
        <f>D10+D18</f>
        <v>5660</v>
      </c>
      <c r="E22" s="18"/>
      <c r="F22" s="5">
        <f>E22*D22</f>
        <v>0</v>
      </c>
      <c r="G22" s="18"/>
      <c r="H22" s="5">
        <f>G22*D22</f>
        <v>0</v>
      </c>
      <c r="I22" s="5">
        <f>F22+H22</f>
        <v>0</v>
      </c>
      <c r="J22" s="21"/>
      <c r="K22" s="21"/>
      <c r="L22" s="21"/>
      <c r="M22" s="1"/>
    </row>
    <row r="23" spans="1:13" ht="8.25" customHeight="1">
      <c r="A23" s="93"/>
      <c r="B23" s="26"/>
      <c r="C23" s="93"/>
      <c r="D23" s="3"/>
      <c r="E23" s="18"/>
      <c r="F23" s="5"/>
      <c r="G23" s="18"/>
      <c r="H23" s="5"/>
      <c r="I23" s="5"/>
      <c r="J23" s="21"/>
      <c r="K23" s="21"/>
      <c r="L23" s="21"/>
      <c r="M23" s="1"/>
    </row>
    <row r="24" spans="1:9" ht="27" customHeight="1">
      <c r="A24" s="93"/>
      <c r="B24" s="27" t="s">
        <v>15</v>
      </c>
      <c r="C24" s="93"/>
      <c r="D24" s="3"/>
      <c r="E24" s="4"/>
      <c r="F24" s="5">
        <f>SUM(F10:F23)</f>
        <v>0</v>
      </c>
      <c r="G24" s="4"/>
      <c r="H24" s="5">
        <f>SUM(H10:H23)</f>
        <v>0</v>
      </c>
      <c r="I24" s="5">
        <f>F24+H24</f>
        <v>0</v>
      </c>
    </row>
    <row r="25" spans="1:9" ht="27.75" customHeight="1">
      <c r="A25" s="153" t="s">
        <v>206</v>
      </c>
      <c r="B25" s="154"/>
      <c r="C25" s="154"/>
      <c r="D25" s="154"/>
      <c r="E25" s="154"/>
      <c r="F25" s="154"/>
      <c r="G25" s="154"/>
      <c r="H25" s="154"/>
      <c r="I25" s="155"/>
    </row>
    <row r="26" spans="1:13" ht="48.75" customHeight="1">
      <c r="A26" s="63">
        <v>1</v>
      </c>
      <c r="B26" s="26" t="s">
        <v>349</v>
      </c>
      <c r="C26" s="63" t="s">
        <v>5</v>
      </c>
      <c r="D26" s="4">
        <f>104+52*0.2</f>
        <v>114.4</v>
      </c>
      <c r="E26" s="29"/>
      <c r="F26" s="5"/>
      <c r="G26" s="18"/>
      <c r="H26" s="5">
        <f>G26*D26</f>
        <v>0</v>
      </c>
      <c r="I26" s="5">
        <f>F26+H26</f>
        <v>0</v>
      </c>
      <c r="J26" s="21"/>
      <c r="K26" s="21"/>
      <c r="L26" s="21"/>
      <c r="M26" s="1"/>
    </row>
    <row r="27" spans="1:13" ht="22.5" customHeight="1">
      <c r="A27" s="63"/>
      <c r="B27" s="54" t="s">
        <v>351</v>
      </c>
      <c r="C27" s="63" t="s">
        <v>5</v>
      </c>
      <c r="D27" s="4">
        <f>D26*1.1</f>
        <v>125.84000000000002</v>
      </c>
      <c r="E27" s="18"/>
      <c r="F27" s="5">
        <f>E27*D27</f>
        <v>0</v>
      </c>
      <c r="G27" s="18"/>
      <c r="H27" s="5"/>
      <c r="I27" s="5">
        <f>F27+H27</f>
        <v>0</v>
      </c>
      <c r="J27" s="21"/>
      <c r="K27" s="21"/>
      <c r="L27" s="21"/>
      <c r="M27" s="1"/>
    </row>
    <row r="28" spans="1:9" ht="20.25" customHeight="1">
      <c r="A28" s="63"/>
      <c r="B28" s="36" t="s">
        <v>56</v>
      </c>
      <c r="C28" s="122" t="s">
        <v>350</v>
      </c>
      <c r="D28" s="3">
        <f>D26</f>
        <v>114.4</v>
      </c>
      <c r="E28" s="18"/>
      <c r="F28" s="5">
        <f>E28*D28</f>
        <v>0</v>
      </c>
      <c r="G28" s="18"/>
      <c r="H28" s="5"/>
      <c r="I28" s="5">
        <f>F28+H28</f>
        <v>0</v>
      </c>
    </row>
    <row r="29" spans="1:13" ht="6.75" customHeight="1">
      <c r="A29" s="63"/>
      <c r="B29" s="26"/>
      <c r="C29" s="63"/>
      <c r="D29" s="3"/>
      <c r="E29" s="18"/>
      <c r="F29" s="5"/>
      <c r="G29" s="18"/>
      <c r="H29" s="5"/>
      <c r="I29" s="5"/>
      <c r="J29" s="21"/>
      <c r="K29" s="21"/>
      <c r="L29" s="21"/>
      <c r="M29" s="1"/>
    </row>
    <row r="30" spans="1:9" ht="27" customHeight="1">
      <c r="A30" s="63"/>
      <c r="B30" s="27" t="s">
        <v>16</v>
      </c>
      <c r="C30" s="63"/>
      <c r="D30" s="3"/>
      <c r="E30" s="4"/>
      <c r="F30" s="5">
        <f>SUM(F26:F29)</f>
        <v>0</v>
      </c>
      <c r="G30" s="4"/>
      <c r="H30" s="5">
        <f>SUM(H26:H29)</f>
        <v>0</v>
      </c>
      <c r="I30" s="5">
        <f>F30+H30</f>
        <v>0</v>
      </c>
    </row>
    <row r="31" spans="1:9" ht="9" customHeight="1">
      <c r="A31" s="166"/>
      <c r="B31" s="167"/>
      <c r="C31" s="167"/>
      <c r="D31" s="167"/>
      <c r="E31" s="167"/>
      <c r="F31" s="167"/>
      <c r="G31" s="167"/>
      <c r="H31" s="167"/>
      <c r="I31" s="168"/>
    </row>
    <row r="32" spans="1:9" ht="29.25" customHeight="1">
      <c r="A32" s="63"/>
      <c r="B32" s="27" t="s">
        <v>110</v>
      </c>
      <c r="C32" s="63"/>
      <c r="D32" s="3"/>
      <c r="E32" s="4"/>
      <c r="F32" s="5">
        <f>F30+F24</f>
        <v>0</v>
      </c>
      <c r="G32" s="4"/>
      <c r="H32" s="5">
        <f>H30+H24</f>
        <v>0</v>
      </c>
      <c r="I32" s="5">
        <f>F32+H32</f>
        <v>0</v>
      </c>
    </row>
    <row r="33" spans="1:9" ht="33.75" customHeight="1">
      <c r="A33" s="76"/>
      <c r="B33" s="28" t="s">
        <v>147</v>
      </c>
      <c r="C33" s="22">
        <v>0</v>
      </c>
      <c r="D33" s="3"/>
      <c r="E33" s="4"/>
      <c r="F33" s="5"/>
      <c r="G33" s="4"/>
      <c r="H33" s="23"/>
      <c r="I33" s="5">
        <f>F32*C33</f>
        <v>0</v>
      </c>
    </row>
    <row r="34" spans="1:9" ht="25.5" customHeight="1">
      <c r="A34" s="76"/>
      <c r="B34" s="28" t="s">
        <v>13</v>
      </c>
      <c r="C34" s="76"/>
      <c r="D34" s="3"/>
      <c r="E34" s="4"/>
      <c r="F34" s="5"/>
      <c r="G34" s="4"/>
      <c r="H34" s="23"/>
      <c r="I34" s="5">
        <f>I32+I33</f>
        <v>0</v>
      </c>
    </row>
    <row r="35" spans="1:9" ht="25.5" customHeight="1">
      <c r="A35" s="76"/>
      <c r="B35" s="28" t="s">
        <v>146</v>
      </c>
      <c r="C35" s="22">
        <v>0</v>
      </c>
      <c r="D35" s="3"/>
      <c r="E35" s="4"/>
      <c r="F35" s="5"/>
      <c r="G35" s="4"/>
      <c r="H35" s="23"/>
      <c r="I35" s="5">
        <f>I34*C35</f>
        <v>0</v>
      </c>
    </row>
    <row r="36" spans="1:9" ht="25.5" customHeight="1">
      <c r="A36" s="76"/>
      <c r="B36" s="28" t="s">
        <v>13</v>
      </c>
      <c r="C36" s="76"/>
      <c r="D36" s="3"/>
      <c r="E36" s="4"/>
      <c r="F36" s="5"/>
      <c r="G36" s="4"/>
      <c r="H36" s="23"/>
      <c r="I36" s="5">
        <f>I34+I35</f>
        <v>0</v>
      </c>
    </row>
    <row r="37" spans="1:9" ht="25.5" customHeight="1">
      <c r="A37" s="76"/>
      <c r="B37" s="28" t="s">
        <v>93</v>
      </c>
      <c r="C37" s="24">
        <v>0</v>
      </c>
      <c r="D37" s="3"/>
      <c r="E37" s="4"/>
      <c r="F37" s="5"/>
      <c r="G37" s="4"/>
      <c r="H37" s="23"/>
      <c r="I37" s="5">
        <f>I36*C37</f>
        <v>0</v>
      </c>
    </row>
    <row r="38" spans="1:9" ht="25.5" customHeight="1">
      <c r="A38" s="76"/>
      <c r="B38" s="28" t="s">
        <v>2</v>
      </c>
      <c r="C38" s="76"/>
      <c r="D38" s="3"/>
      <c r="E38" s="4"/>
      <c r="F38" s="5"/>
      <c r="G38" s="4"/>
      <c r="H38" s="23"/>
      <c r="I38" s="5">
        <f>I37+I36</f>
        <v>0</v>
      </c>
    </row>
    <row r="39" spans="1:9" ht="25.5" customHeight="1">
      <c r="A39" s="76"/>
      <c r="B39" s="28" t="s">
        <v>94</v>
      </c>
      <c r="C39" s="24">
        <v>0</v>
      </c>
      <c r="D39" s="3"/>
      <c r="E39" s="4"/>
      <c r="F39" s="5"/>
      <c r="G39" s="4"/>
      <c r="H39" s="23"/>
      <c r="I39" s="5">
        <f>I38*C39</f>
        <v>0</v>
      </c>
    </row>
    <row r="40" spans="1:9" ht="25.5" customHeight="1">
      <c r="A40" s="76"/>
      <c r="B40" s="28" t="s">
        <v>2</v>
      </c>
      <c r="C40" s="76"/>
      <c r="D40" s="3"/>
      <c r="E40" s="4"/>
      <c r="F40" s="5"/>
      <c r="G40" s="4"/>
      <c r="H40" s="23"/>
      <c r="I40" s="5">
        <f>I39+I38</f>
        <v>0</v>
      </c>
    </row>
    <row r="41" spans="1:9" ht="25.5" customHeight="1">
      <c r="A41" s="76"/>
      <c r="B41" s="28" t="s">
        <v>95</v>
      </c>
      <c r="C41" s="24">
        <v>0.18</v>
      </c>
      <c r="D41" s="3"/>
      <c r="E41" s="4"/>
      <c r="F41" s="5"/>
      <c r="G41" s="4"/>
      <c r="H41" s="23"/>
      <c r="I41" s="5">
        <f>I40*C41</f>
        <v>0</v>
      </c>
    </row>
    <row r="42" spans="1:9" ht="25.5" customHeight="1">
      <c r="A42" s="76"/>
      <c r="B42" s="28" t="s">
        <v>35</v>
      </c>
      <c r="C42" s="76"/>
      <c r="D42" s="3"/>
      <c r="E42" s="4"/>
      <c r="F42" s="5"/>
      <c r="G42" s="4"/>
      <c r="H42" s="23"/>
      <c r="I42" s="5">
        <f>I41+I40</f>
        <v>0</v>
      </c>
    </row>
  </sheetData>
  <sheetProtection/>
  <mergeCells count="15">
    <mergeCell ref="B6:B7"/>
    <mergeCell ref="C6:C7"/>
    <mergeCell ref="D6:D7"/>
    <mergeCell ref="E6:F6"/>
    <mergeCell ref="G6:H6"/>
    <mergeCell ref="I6:I7"/>
    <mergeCell ref="A9:I9"/>
    <mergeCell ref="A25:I25"/>
    <mergeCell ref="A31:I31"/>
    <mergeCell ref="A1:I1"/>
    <mergeCell ref="A2:I2"/>
    <mergeCell ref="A3:I3"/>
    <mergeCell ref="A4:I4"/>
    <mergeCell ref="A5:I5"/>
    <mergeCell ref="A6:A7"/>
  </mergeCells>
  <printOptions/>
  <pageMargins left="0.25" right="0.25" top="0.25" bottom="0.2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74"/>
  <sheetViews>
    <sheetView tabSelected="1" zoomScaleSheetLayoutView="100" zoomScalePageLayoutView="0" workbookViewId="0" topLeftCell="A59">
      <selection activeCell="O71" sqref="O71"/>
    </sheetView>
  </sheetViews>
  <sheetFormatPr defaultColWidth="9.140625" defaultRowHeight="12.75"/>
  <cols>
    <col min="1" max="1" width="3.57421875" style="1" customWidth="1"/>
    <col min="2" max="2" width="37.57421875" style="1" customWidth="1"/>
    <col min="3" max="3" width="8.7109375" style="1" customWidth="1"/>
    <col min="4" max="4" width="6.8515625" style="1" customWidth="1"/>
    <col min="5" max="5" width="8.28125" style="1" customWidth="1"/>
    <col min="6" max="6" width="9.7109375" style="1" customWidth="1"/>
    <col min="7" max="7" width="8.2812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322</v>
      </c>
      <c r="B3" s="158"/>
      <c r="C3" s="158"/>
      <c r="D3" s="158"/>
      <c r="E3" s="158"/>
      <c r="F3" s="158"/>
      <c r="G3" s="158"/>
      <c r="H3" s="158"/>
      <c r="I3" s="158"/>
    </row>
    <row r="4" spans="1:9" ht="21" customHeight="1">
      <c r="A4" s="159" t="s">
        <v>144</v>
      </c>
      <c r="B4" s="159"/>
      <c r="C4" s="159"/>
      <c r="D4" s="159"/>
      <c r="E4" s="159"/>
      <c r="F4" s="159"/>
      <c r="G4" s="159"/>
      <c r="H4" s="159"/>
      <c r="I4" s="159"/>
    </row>
    <row r="5" spans="1:9" ht="7.5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8.7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75" t="s">
        <v>9</v>
      </c>
      <c r="F7" s="75" t="s">
        <v>1</v>
      </c>
      <c r="G7" s="75" t="s">
        <v>9</v>
      </c>
      <c r="H7" s="75" t="s">
        <v>1</v>
      </c>
      <c r="I7" s="162"/>
    </row>
    <row r="8" spans="1:9" ht="14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</row>
    <row r="9" spans="1:9" ht="27.75" customHeight="1">
      <c r="A9" s="153" t="s">
        <v>153</v>
      </c>
      <c r="B9" s="154"/>
      <c r="C9" s="154"/>
      <c r="D9" s="154"/>
      <c r="E9" s="154"/>
      <c r="F9" s="154"/>
      <c r="G9" s="154"/>
      <c r="H9" s="154"/>
      <c r="I9" s="155"/>
    </row>
    <row r="10" spans="1:10" ht="35.25" customHeight="1">
      <c r="A10" s="76">
        <v>1</v>
      </c>
      <c r="B10" s="26" t="s">
        <v>148</v>
      </c>
      <c r="C10" s="76" t="s">
        <v>12</v>
      </c>
      <c r="D10" s="3">
        <f>250*0.2</f>
        <v>50</v>
      </c>
      <c r="E10" s="77"/>
      <c r="F10" s="78"/>
      <c r="G10" s="77"/>
      <c r="H10" s="78">
        <f>G10*D10</f>
        <v>0</v>
      </c>
      <c r="I10" s="78">
        <f aca="true" t="shared" si="0" ref="I10:I15">F10+H10</f>
        <v>0</v>
      </c>
      <c r="J10" s="30"/>
    </row>
    <row r="11" spans="1:10" ht="37.5" customHeight="1">
      <c r="A11" s="76">
        <v>2</v>
      </c>
      <c r="B11" s="26" t="s">
        <v>149</v>
      </c>
      <c r="C11" s="76" t="s">
        <v>12</v>
      </c>
      <c r="D11" s="3">
        <f>D10*1.35</f>
        <v>67.5</v>
      </c>
      <c r="E11" s="77"/>
      <c r="F11" s="78"/>
      <c r="G11" s="77"/>
      <c r="H11" s="78">
        <f>G11*D11</f>
        <v>0</v>
      </c>
      <c r="I11" s="78">
        <f t="shared" si="0"/>
        <v>0</v>
      </c>
      <c r="J11" s="30"/>
    </row>
    <row r="12" spans="1:10" ht="30.75" customHeight="1">
      <c r="A12" s="76">
        <v>3</v>
      </c>
      <c r="B12" s="26" t="s">
        <v>323</v>
      </c>
      <c r="C12" s="76" t="s">
        <v>12</v>
      </c>
      <c r="D12" s="3">
        <f>D11</f>
        <v>67.5</v>
      </c>
      <c r="E12" s="77"/>
      <c r="F12" s="78"/>
      <c r="G12" s="77"/>
      <c r="H12" s="78">
        <f>G12*D12</f>
        <v>0</v>
      </c>
      <c r="I12" s="78">
        <f t="shared" si="0"/>
        <v>0</v>
      </c>
      <c r="J12" s="30"/>
    </row>
    <row r="13" spans="1:10" ht="31.5" customHeight="1">
      <c r="A13" s="76">
        <v>4</v>
      </c>
      <c r="B13" s="26" t="s">
        <v>150</v>
      </c>
      <c r="C13" s="76" t="s">
        <v>5</v>
      </c>
      <c r="D13" s="79">
        <v>400</v>
      </c>
      <c r="E13" s="77"/>
      <c r="F13" s="78"/>
      <c r="G13" s="77"/>
      <c r="H13" s="78">
        <f>G13*D13</f>
        <v>0</v>
      </c>
      <c r="I13" s="78">
        <f t="shared" si="0"/>
        <v>0</v>
      </c>
      <c r="J13" s="80"/>
    </row>
    <row r="14" spans="1:10" ht="29.25" customHeight="1">
      <c r="A14" s="76">
        <v>5</v>
      </c>
      <c r="B14" s="26" t="s">
        <v>151</v>
      </c>
      <c r="C14" s="76" t="s">
        <v>12</v>
      </c>
      <c r="D14" s="79">
        <f>280*0.15</f>
        <v>42</v>
      </c>
      <c r="E14" s="77"/>
      <c r="F14" s="78"/>
      <c r="G14" s="77"/>
      <c r="H14" s="78">
        <f>G14*D14</f>
        <v>0</v>
      </c>
      <c r="I14" s="78">
        <f t="shared" si="0"/>
        <v>0</v>
      </c>
      <c r="J14" s="80"/>
    </row>
    <row r="15" spans="1:10" ht="24" customHeight="1">
      <c r="A15" s="76"/>
      <c r="B15" s="26" t="s">
        <v>152</v>
      </c>
      <c r="C15" s="76" t="s">
        <v>12</v>
      </c>
      <c r="D15" s="79">
        <f>D14</f>
        <v>42</v>
      </c>
      <c r="E15" s="77"/>
      <c r="F15" s="78">
        <f>E15*D15</f>
        <v>0</v>
      </c>
      <c r="G15" s="77"/>
      <c r="H15" s="78"/>
      <c r="I15" s="78">
        <f t="shared" si="0"/>
        <v>0</v>
      </c>
      <c r="J15" s="80"/>
    </row>
    <row r="16" spans="1:13" ht="8.25" customHeight="1">
      <c r="A16" s="76"/>
      <c r="B16" s="26"/>
      <c r="C16" s="76"/>
      <c r="D16" s="3"/>
      <c r="E16" s="18"/>
      <c r="F16" s="5"/>
      <c r="G16" s="18"/>
      <c r="H16" s="5"/>
      <c r="I16" s="5"/>
      <c r="J16" s="21"/>
      <c r="K16" s="21"/>
      <c r="L16" s="21"/>
      <c r="M16" s="1"/>
    </row>
    <row r="17" spans="1:9" ht="27" customHeight="1">
      <c r="A17" s="76"/>
      <c r="B17" s="27" t="s">
        <v>15</v>
      </c>
      <c r="C17" s="76"/>
      <c r="D17" s="3"/>
      <c r="E17" s="4"/>
      <c r="F17" s="5">
        <f>SUM(F10:F16)</f>
        <v>0</v>
      </c>
      <c r="G17" s="4"/>
      <c r="H17" s="5">
        <f>SUM(H10:H16)</f>
        <v>0</v>
      </c>
      <c r="I17" s="5">
        <f>F17+H17</f>
        <v>0</v>
      </c>
    </row>
    <row r="18" spans="1:9" ht="32.25" customHeight="1">
      <c r="A18" s="153" t="s">
        <v>325</v>
      </c>
      <c r="B18" s="154"/>
      <c r="C18" s="154"/>
      <c r="D18" s="154"/>
      <c r="E18" s="154"/>
      <c r="F18" s="154"/>
      <c r="G18" s="154"/>
      <c r="H18" s="154"/>
      <c r="I18" s="155"/>
    </row>
    <row r="19" spans="1:10" ht="33" customHeight="1">
      <c r="A19" s="76">
        <v>1</v>
      </c>
      <c r="B19" s="26" t="s">
        <v>154</v>
      </c>
      <c r="C19" s="76" t="s">
        <v>12</v>
      </c>
      <c r="D19" s="79">
        <f>(D21+D27)*0.1</f>
        <v>38.550000000000004</v>
      </c>
      <c r="E19" s="77"/>
      <c r="F19" s="78"/>
      <c r="G19" s="77"/>
      <c r="H19" s="78">
        <f>G19*D19</f>
        <v>0</v>
      </c>
      <c r="I19" s="78">
        <f aca="true" t="shared" si="1" ref="I19:I32">F19+H19</f>
        <v>0</v>
      </c>
      <c r="J19" s="80"/>
    </row>
    <row r="20" spans="1:10" ht="21.75" customHeight="1">
      <c r="A20" s="76"/>
      <c r="B20" s="26" t="s">
        <v>155</v>
      </c>
      <c r="C20" s="76" t="s">
        <v>12</v>
      </c>
      <c r="D20" s="79">
        <f>D19*1.1</f>
        <v>42.40500000000001</v>
      </c>
      <c r="E20" s="77"/>
      <c r="F20" s="78">
        <f>E20*D20</f>
        <v>0</v>
      </c>
      <c r="G20" s="77"/>
      <c r="H20" s="78"/>
      <c r="I20" s="78">
        <f t="shared" si="1"/>
        <v>0</v>
      </c>
      <c r="J20" s="80"/>
    </row>
    <row r="21" spans="1:10" ht="33.75" customHeight="1">
      <c r="A21" s="76">
        <v>2</v>
      </c>
      <c r="B21" s="26" t="s">
        <v>256</v>
      </c>
      <c r="C21" s="76" t="s">
        <v>5</v>
      </c>
      <c r="D21" s="3">
        <v>172</v>
      </c>
      <c r="E21" s="77"/>
      <c r="F21" s="78"/>
      <c r="G21" s="77"/>
      <c r="H21" s="78">
        <f>G21*D21</f>
        <v>0</v>
      </c>
      <c r="I21" s="78">
        <f t="shared" si="1"/>
        <v>0</v>
      </c>
      <c r="J21" s="30"/>
    </row>
    <row r="22" spans="1:10" ht="21.75" customHeight="1">
      <c r="A22" s="76"/>
      <c r="B22" s="26" t="s">
        <v>175</v>
      </c>
      <c r="C22" s="76" t="s">
        <v>5</v>
      </c>
      <c r="D22" s="4">
        <f>D21*1.05</f>
        <v>180.6</v>
      </c>
      <c r="E22" s="77"/>
      <c r="F22" s="78">
        <f>E22*D22</f>
        <v>0</v>
      </c>
      <c r="G22" s="77"/>
      <c r="H22" s="78"/>
      <c r="I22" s="78">
        <f t="shared" si="1"/>
        <v>0</v>
      </c>
      <c r="J22" s="30"/>
    </row>
    <row r="23" spans="1:10" ht="21.75" customHeight="1">
      <c r="A23" s="76"/>
      <c r="B23" s="26" t="s">
        <v>156</v>
      </c>
      <c r="C23" s="76" t="s">
        <v>12</v>
      </c>
      <c r="D23" s="79">
        <f>D21*0.18</f>
        <v>30.959999999999997</v>
      </c>
      <c r="E23" s="77"/>
      <c r="F23" s="78">
        <f>E23*D23</f>
        <v>0</v>
      </c>
      <c r="G23" s="77"/>
      <c r="H23" s="78"/>
      <c r="I23" s="78">
        <f t="shared" si="1"/>
        <v>0</v>
      </c>
      <c r="J23" s="80"/>
    </row>
    <row r="24" spans="1:10" ht="33.75" customHeight="1">
      <c r="A24" s="106">
        <v>3</v>
      </c>
      <c r="B24" s="26" t="s">
        <v>326</v>
      </c>
      <c r="C24" s="106" t="s">
        <v>6</v>
      </c>
      <c r="D24" s="4">
        <v>62</v>
      </c>
      <c r="E24" s="77"/>
      <c r="F24" s="78"/>
      <c r="G24" s="77"/>
      <c r="H24" s="78">
        <f>G24*D24</f>
        <v>0</v>
      </c>
      <c r="I24" s="78">
        <f t="shared" si="1"/>
        <v>0</v>
      </c>
      <c r="J24" s="30"/>
    </row>
    <row r="25" spans="1:10" ht="19.5" customHeight="1">
      <c r="A25" s="106"/>
      <c r="B25" s="26" t="s">
        <v>161</v>
      </c>
      <c r="C25" s="106" t="s">
        <v>6</v>
      </c>
      <c r="D25" s="4">
        <f>D24*1.05</f>
        <v>65.10000000000001</v>
      </c>
      <c r="E25" s="77"/>
      <c r="F25" s="78">
        <f>E25*D25</f>
        <v>0</v>
      </c>
      <c r="G25" s="77"/>
      <c r="H25" s="78"/>
      <c r="I25" s="78">
        <f t="shared" si="1"/>
        <v>0</v>
      </c>
      <c r="J25" s="30"/>
    </row>
    <row r="26" spans="1:10" ht="19.5" customHeight="1">
      <c r="A26" s="106"/>
      <c r="B26" s="26" t="s">
        <v>162</v>
      </c>
      <c r="C26" s="106" t="s">
        <v>12</v>
      </c>
      <c r="D26" s="81">
        <f>D24*0.3*0.15</f>
        <v>2.7899999999999996</v>
      </c>
      <c r="E26" s="77"/>
      <c r="F26" s="78">
        <f>E26*D26</f>
        <v>0</v>
      </c>
      <c r="G26" s="77"/>
      <c r="H26" s="78"/>
      <c r="I26" s="78">
        <f t="shared" si="1"/>
        <v>0</v>
      </c>
      <c r="J26" s="80"/>
    </row>
    <row r="27" spans="1:10" ht="33.75" customHeight="1">
      <c r="A27" s="106">
        <v>4</v>
      </c>
      <c r="B27" s="26" t="s">
        <v>327</v>
      </c>
      <c r="C27" s="106" t="s">
        <v>5</v>
      </c>
      <c r="D27" s="3">
        <v>213.5</v>
      </c>
      <c r="E27" s="77"/>
      <c r="F27" s="78"/>
      <c r="G27" s="77"/>
      <c r="H27" s="78">
        <f>G27*D27</f>
        <v>0</v>
      </c>
      <c r="I27" s="78">
        <f>F27+H27</f>
        <v>0</v>
      </c>
      <c r="J27" s="30"/>
    </row>
    <row r="28" spans="1:10" ht="21.75" customHeight="1">
      <c r="A28" s="106"/>
      <c r="B28" s="26" t="s">
        <v>328</v>
      </c>
      <c r="C28" s="106" t="s">
        <v>5</v>
      </c>
      <c r="D28" s="4">
        <f>D27*1.05</f>
        <v>224.175</v>
      </c>
      <c r="E28" s="77"/>
      <c r="F28" s="78">
        <f>E28*D28</f>
        <v>0</v>
      </c>
      <c r="G28" s="77"/>
      <c r="H28" s="78"/>
      <c r="I28" s="78">
        <f>F28+H28</f>
        <v>0</v>
      </c>
      <c r="J28" s="30"/>
    </row>
    <row r="29" spans="1:10" ht="21.75" customHeight="1">
      <c r="A29" s="106"/>
      <c r="B29" s="26" t="s">
        <v>330</v>
      </c>
      <c r="C29" s="106" t="s">
        <v>28</v>
      </c>
      <c r="D29" s="79">
        <f>D27*0.01</f>
        <v>2.1350000000000002</v>
      </c>
      <c r="E29" s="77"/>
      <c r="F29" s="78">
        <f>E29*D29</f>
        <v>0</v>
      </c>
      <c r="G29" s="77"/>
      <c r="H29" s="78"/>
      <c r="I29" s="78">
        <f>F29+H29</f>
        <v>0</v>
      </c>
      <c r="J29" s="30"/>
    </row>
    <row r="30" spans="1:10" ht="21.75" customHeight="1">
      <c r="A30" s="106"/>
      <c r="B30" s="26" t="s">
        <v>331</v>
      </c>
      <c r="C30" s="106" t="s">
        <v>329</v>
      </c>
      <c r="D30" s="79">
        <f>D27/20</f>
        <v>10.675</v>
      </c>
      <c r="E30" s="77"/>
      <c r="F30" s="78">
        <f>E30*D30</f>
        <v>0</v>
      </c>
      <c r="G30" s="77"/>
      <c r="H30" s="78"/>
      <c r="I30" s="78">
        <f>F30+H30</f>
        <v>0</v>
      </c>
      <c r="J30" s="80"/>
    </row>
    <row r="31" spans="1:10" ht="54.75" customHeight="1">
      <c r="A31" s="76">
        <v>5</v>
      </c>
      <c r="B31" s="26" t="s">
        <v>332</v>
      </c>
      <c r="C31" s="76" t="s">
        <v>6</v>
      </c>
      <c r="D31" s="3">
        <f>(40/3)*3.95</f>
        <v>52.66666666666667</v>
      </c>
      <c r="E31" s="77"/>
      <c r="F31" s="78"/>
      <c r="G31" s="77"/>
      <c r="H31" s="78">
        <f>G31*D31</f>
        <v>0</v>
      </c>
      <c r="I31" s="78">
        <f t="shared" si="1"/>
        <v>0</v>
      </c>
      <c r="J31" s="30"/>
    </row>
    <row r="32" spans="1:10" ht="21.75" customHeight="1">
      <c r="A32" s="76"/>
      <c r="B32" s="26" t="s">
        <v>158</v>
      </c>
      <c r="C32" s="76" t="s">
        <v>6</v>
      </c>
      <c r="D32" s="3">
        <f>D31</f>
        <v>52.66666666666667</v>
      </c>
      <c r="E32" s="77"/>
      <c r="F32" s="78"/>
      <c r="G32" s="77"/>
      <c r="H32" s="78"/>
      <c r="I32" s="78">
        <f t="shared" si="1"/>
        <v>0</v>
      </c>
      <c r="J32" s="30"/>
    </row>
    <row r="33" spans="1:13" ht="6.75" customHeight="1">
      <c r="A33" s="76"/>
      <c r="B33" s="26"/>
      <c r="C33" s="76"/>
      <c r="D33" s="3"/>
      <c r="E33" s="18"/>
      <c r="F33" s="5"/>
      <c r="G33" s="18"/>
      <c r="H33" s="5"/>
      <c r="I33" s="5"/>
      <c r="J33" s="21"/>
      <c r="K33" s="21"/>
      <c r="L33" s="21"/>
      <c r="M33" s="1"/>
    </row>
    <row r="34" spans="1:9" ht="27" customHeight="1">
      <c r="A34" s="76"/>
      <c r="B34" s="27" t="s">
        <v>16</v>
      </c>
      <c r="C34" s="76"/>
      <c r="D34" s="3"/>
      <c r="E34" s="4"/>
      <c r="F34" s="5">
        <f>SUM(F19:F33)</f>
        <v>0</v>
      </c>
      <c r="G34" s="4"/>
      <c r="H34" s="5">
        <f>SUM(H19:H33)</f>
        <v>0</v>
      </c>
      <c r="I34" s="5">
        <f>F34+H34</f>
        <v>0</v>
      </c>
    </row>
    <row r="35" spans="1:9" ht="27.75" customHeight="1">
      <c r="A35" s="153" t="s">
        <v>159</v>
      </c>
      <c r="B35" s="154"/>
      <c r="C35" s="154"/>
      <c r="D35" s="154"/>
      <c r="E35" s="154"/>
      <c r="F35" s="154"/>
      <c r="G35" s="154"/>
      <c r="H35" s="154"/>
      <c r="I35" s="155"/>
    </row>
    <row r="36" spans="1:10" ht="31.5" customHeight="1">
      <c r="A36" s="139">
        <v>1</v>
      </c>
      <c r="B36" s="26" t="s">
        <v>160</v>
      </c>
      <c r="C36" s="139" t="s">
        <v>6</v>
      </c>
      <c r="D36" s="4">
        <f>50+25</f>
        <v>75</v>
      </c>
      <c r="E36" s="77"/>
      <c r="F36" s="78"/>
      <c r="G36" s="77"/>
      <c r="H36" s="78">
        <f>G36*D36</f>
        <v>0</v>
      </c>
      <c r="I36" s="78">
        <f aca="true" t="shared" si="2" ref="I36:I42">F36+H36</f>
        <v>0</v>
      </c>
      <c r="J36" s="30"/>
    </row>
    <row r="37" spans="1:10" ht="19.5" customHeight="1">
      <c r="A37" s="139"/>
      <c r="B37" s="26" t="s">
        <v>161</v>
      </c>
      <c r="C37" s="139" t="s">
        <v>6</v>
      </c>
      <c r="D37" s="4">
        <f>D36*1.05</f>
        <v>78.75</v>
      </c>
      <c r="E37" s="77"/>
      <c r="F37" s="78">
        <f>E37*D37</f>
        <v>0</v>
      </c>
      <c r="G37" s="77"/>
      <c r="H37" s="78"/>
      <c r="I37" s="78">
        <f t="shared" si="2"/>
        <v>0</v>
      </c>
      <c r="J37" s="30"/>
    </row>
    <row r="38" spans="1:10" ht="19.5" customHeight="1">
      <c r="A38" s="139"/>
      <c r="B38" s="26" t="s">
        <v>162</v>
      </c>
      <c r="C38" s="139" t="s">
        <v>12</v>
      </c>
      <c r="D38" s="81">
        <f>D36*0.3*0.15</f>
        <v>3.375</v>
      </c>
      <c r="E38" s="77"/>
      <c r="F38" s="78">
        <f>E38*D38</f>
        <v>0</v>
      </c>
      <c r="G38" s="77"/>
      <c r="H38" s="78"/>
      <c r="I38" s="78">
        <f t="shared" si="2"/>
        <v>0</v>
      </c>
      <c r="J38" s="80"/>
    </row>
    <row r="39" spans="1:10" ht="51.75" customHeight="1">
      <c r="A39" s="139">
        <v>2</v>
      </c>
      <c r="B39" s="26" t="s">
        <v>163</v>
      </c>
      <c r="C39" s="139" t="s">
        <v>5</v>
      </c>
      <c r="D39" s="4">
        <v>117</v>
      </c>
      <c r="E39" s="77"/>
      <c r="F39" s="78"/>
      <c r="G39" s="77"/>
      <c r="H39" s="78">
        <f>G39*D39</f>
        <v>0</v>
      </c>
      <c r="I39" s="78">
        <f t="shared" si="2"/>
        <v>0</v>
      </c>
      <c r="J39" s="30"/>
    </row>
    <row r="40" spans="1:10" ht="19.5" customHeight="1">
      <c r="A40" s="139"/>
      <c r="B40" s="26" t="s">
        <v>164</v>
      </c>
      <c r="C40" s="139" t="s">
        <v>12</v>
      </c>
      <c r="D40" s="4">
        <f>D39*0.32</f>
        <v>37.44</v>
      </c>
      <c r="E40" s="77"/>
      <c r="F40" s="78">
        <f>E40*D40</f>
        <v>0</v>
      </c>
      <c r="G40" s="77"/>
      <c r="H40" s="78"/>
      <c r="I40" s="78">
        <f t="shared" si="2"/>
        <v>0</v>
      </c>
      <c r="J40" s="30"/>
    </row>
    <row r="41" spans="1:10" ht="36" customHeight="1">
      <c r="A41" s="139">
        <v>3</v>
      </c>
      <c r="B41" s="26" t="s">
        <v>403</v>
      </c>
      <c r="C41" s="139" t="s">
        <v>5</v>
      </c>
      <c r="D41" s="4">
        <v>117</v>
      </c>
      <c r="E41" s="77"/>
      <c r="F41" s="78"/>
      <c r="G41" s="77"/>
      <c r="H41" s="78">
        <f>G41*D41</f>
        <v>0</v>
      </c>
      <c r="I41" s="78">
        <f t="shared" si="2"/>
        <v>0</v>
      </c>
      <c r="J41" s="30"/>
    </row>
    <row r="42" spans="1:10" ht="19.5" customHeight="1">
      <c r="A42" s="139"/>
      <c r="B42" s="26" t="s">
        <v>165</v>
      </c>
      <c r="C42" s="139" t="s">
        <v>38</v>
      </c>
      <c r="D42" s="4">
        <f>D41*2</f>
        <v>234</v>
      </c>
      <c r="E42" s="77"/>
      <c r="F42" s="78">
        <f>E42*D42</f>
        <v>0</v>
      </c>
      <c r="G42" s="77"/>
      <c r="H42" s="78"/>
      <c r="I42" s="78">
        <f t="shared" si="2"/>
        <v>0</v>
      </c>
      <c r="J42" s="30"/>
    </row>
    <row r="43" spans="1:13" ht="6.75" customHeight="1">
      <c r="A43" s="139"/>
      <c r="B43" s="26"/>
      <c r="C43" s="139"/>
      <c r="D43" s="3"/>
      <c r="E43" s="18"/>
      <c r="F43" s="5"/>
      <c r="G43" s="18"/>
      <c r="H43" s="5"/>
      <c r="I43" s="5"/>
      <c r="J43" s="21"/>
      <c r="K43" s="21"/>
      <c r="L43" s="21"/>
      <c r="M43" s="1"/>
    </row>
    <row r="44" spans="1:9" ht="27" customHeight="1">
      <c r="A44" s="139"/>
      <c r="B44" s="27" t="s">
        <v>17</v>
      </c>
      <c r="C44" s="139"/>
      <c r="D44" s="3"/>
      <c r="E44" s="4"/>
      <c r="F44" s="5">
        <f>SUM(F36:F43)</f>
        <v>0</v>
      </c>
      <c r="G44" s="4"/>
      <c r="H44" s="5">
        <f>SUM(H36:H43)</f>
        <v>0</v>
      </c>
      <c r="I44" s="5">
        <f>F44+H44</f>
        <v>0</v>
      </c>
    </row>
    <row r="45" spans="1:9" ht="27.75" customHeight="1">
      <c r="A45" s="153" t="s">
        <v>166</v>
      </c>
      <c r="B45" s="154"/>
      <c r="C45" s="154"/>
      <c r="D45" s="154"/>
      <c r="E45" s="154"/>
      <c r="F45" s="154"/>
      <c r="G45" s="154"/>
      <c r="H45" s="154"/>
      <c r="I45" s="155"/>
    </row>
    <row r="46" spans="1:10" ht="27.75" customHeight="1">
      <c r="A46" s="76">
        <v>1</v>
      </c>
      <c r="B46" s="26" t="s">
        <v>167</v>
      </c>
      <c r="C46" s="76" t="s">
        <v>5</v>
      </c>
      <c r="D46" s="4">
        <v>44</v>
      </c>
      <c r="E46" s="77"/>
      <c r="F46" s="78"/>
      <c r="G46" s="77"/>
      <c r="H46" s="78">
        <f>G46*D46</f>
        <v>0</v>
      </c>
      <c r="I46" s="78">
        <f aca="true" t="shared" si="3" ref="I46:I52">F46+H46</f>
        <v>0</v>
      </c>
      <c r="J46" s="30"/>
    </row>
    <row r="47" spans="1:10" ht="48" customHeight="1">
      <c r="A47" s="76"/>
      <c r="B47" s="26" t="s">
        <v>255</v>
      </c>
      <c r="C47" s="76" t="s">
        <v>5</v>
      </c>
      <c r="D47" s="4">
        <f>D46*1.05</f>
        <v>46.2</v>
      </c>
      <c r="E47" s="77"/>
      <c r="F47" s="78">
        <f>E47*D47</f>
        <v>0</v>
      </c>
      <c r="G47" s="77"/>
      <c r="H47" s="78"/>
      <c r="I47" s="78">
        <f t="shared" si="3"/>
        <v>0</v>
      </c>
      <c r="J47" s="30"/>
    </row>
    <row r="48" spans="1:10" ht="19.5" customHeight="1">
      <c r="A48" s="105"/>
      <c r="B48" s="26" t="s">
        <v>254</v>
      </c>
      <c r="C48" s="105" t="s">
        <v>12</v>
      </c>
      <c r="D48" s="81">
        <f>D46*0.1</f>
        <v>4.4</v>
      </c>
      <c r="E48" s="77"/>
      <c r="F48" s="78">
        <f>E48*D48</f>
        <v>0</v>
      </c>
      <c r="G48" s="77"/>
      <c r="H48" s="78"/>
      <c r="I48" s="78">
        <f>F48+H48</f>
        <v>0</v>
      </c>
      <c r="J48" s="80"/>
    </row>
    <row r="49" spans="1:10" ht="19.5" customHeight="1">
      <c r="A49" s="76"/>
      <c r="B49" s="26" t="s">
        <v>253</v>
      </c>
      <c r="C49" s="76" t="s">
        <v>12</v>
      </c>
      <c r="D49" s="81">
        <f>D46*0.3</f>
        <v>13.2</v>
      </c>
      <c r="E49" s="77"/>
      <c r="F49" s="78">
        <f>E49*D49</f>
        <v>0</v>
      </c>
      <c r="G49" s="77"/>
      <c r="H49" s="78"/>
      <c r="I49" s="78">
        <f t="shared" si="3"/>
        <v>0</v>
      </c>
      <c r="J49" s="80"/>
    </row>
    <row r="50" spans="1:10" ht="38.25" customHeight="1">
      <c r="A50" s="139">
        <v>2</v>
      </c>
      <c r="B50" s="26" t="s">
        <v>324</v>
      </c>
      <c r="C50" s="139" t="s">
        <v>6</v>
      </c>
      <c r="D50" s="79">
        <v>5.4</v>
      </c>
      <c r="E50" s="77"/>
      <c r="F50" s="78"/>
      <c r="G50" s="77"/>
      <c r="H50" s="78">
        <f>G50*D50</f>
        <v>0</v>
      </c>
      <c r="I50" s="78">
        <f t="shared" si="3"/>
        <v>0</v>
      </c>
      <c r="J50" s="30"/>
    </row>
    <row r="51" spans="1:10" ht="24" customHeight="1">
      <c r="A51" s="139"/>
      <c r="B51" s="26" t="s">
        <v>176</v>
      </c>
      <c r="C51" s="139" t="s">
        <v>6</v>
      </c>
      <c r="D51" s="79">
        <v>7.4</v>
      </c>
      <c r="E51" s="77"/>
      <c r="F51" s="78">
        <f>E51*D51</f>
        <v>0</v>
      </c>
      <c r="G51" s="77"/>
      <c r="H51" s="78"/>
      <c r="I51" s="78">
        <f t="shared" si="3"/>
        <v>0</v>
      </c>
      <c r="J51" s="80"/>
    </row>
    <row r="52" spans="1:10" ht="24" customHeight="1">
      <c r="A52" s="139"/>
      <c r="B52" s="26" t="s">
        <v>162</v>
      </c>
      <c r="C52" s="139" t="s">
        <v>12</v>
      </c>
      <c r="D52" s="79">
        <f>D50*0.2*0.15</f>
        <v>0.162</v>
      </c>
      <c r="E52" s="77"/>
      <c r="F52" s="78">
        <f>E52*D52</f>
        <v>0</v>
      </c>
      <c r="G52" s="77"/>
      <c r="H52" s="78"/>
      <c r="I52" s="78">
        <f t="shared" si="3"/>
        <v>0</v>
      </c>
      <c r="J52" s="80"/>
    </row>
    <row r="53" spans="1:13" ht="6.75" customHeight="1">
      <c r="A53" s="76"/>
      <c r="B53" s="26"/>
      <c r="C53" s="76"/>
      <c r="D53" s="3"/>
      <c r="E53" s="18"/>
      <c r="F53" s="5"/>
      <c r="G53" s="18"/>
      <c r="H53" s="5"/>
      <c r="I53" s="5"/>
      <c r="J53" s="21"/>
      <c r="K53" s="21"/>
      <c r="L53" s="21"/>
      <c r="M53" s="1"/>
    </row>
    <row r="54" spans="1:9" ht="27" customHeight="1">
      <c r="A54" s="76"/>
      <c r="B54" s="27" t="s">
        <v>59</v>
      </c>
      <c r="C54" s="76"/>
      <c r="D54" s="3"/>
      <c r="E54" s="4"/>
      <c r="F54" s="5">
        <f>SUM(F46:F53)</f>
        <v>0</v>
      </c>
      <c r="G54" s="4"/>
      <c r="H54" s="5">
        <f>SUM(H46:H53)</f>
        <v>0</v>
      </c>
      <c r="I54" s="5">
        <f>F54+H54</f>
        <v>0</v>
      </c>
    </row>
    <row r="55" spans="1:9" ht="27.75" customHeight="1">
      <c r="A55" s="175" t="s">
        <v>168</v>
      </c>
      <c r="B55" s="176"/>
      <c r="C55" s="176"/>
      <c r="D55" s="176"/>
      <c r="E55" s="176"/>
      <c r="F55" s="176"/>
      <c r="G55" s="176"/>
      <c r="H55" s="176"/>
      <c r="I55" s="177"/>
    </row>
    <row r="56" spans="1:10" ht="40.5" customHeight="1">
      <c r="A56" s="125">
        <v>1</v>
      </c>
      <c r="B56" s="126" t="s">
        <v>169</v>
      </c>
      <c r="C56" s="125" t="s">
        <v>42</v>
      </c>
      <c r="D56" s="127">
        <v>4</v>
      </c>
      <c r="E56" s="128"/>
      <c r="F56" s="129"/>
      <c r="G56" s="128"/>
      <c r="H56" s="129">
        <f>G56*D56</f>
        <v>0</v>
      </c>
      <c r="I56" s="129">
        <f>F56+H56</f>
        <v>0</v>
      </c>
      <c r="J56" s="30"/>
    </row>
    <row r="57" spans="1:10" ht="19.5" customHeight="1">
      <c r="A57" s="125"/>
      <c r="B57" s="126" t="s">
        <v>170</v>
      </c>
      <c r="C57" s="125" t="s">
        <v>42</v>
      </c>
      <c r="D57" s="130">
        <v>4</v>
      </c>
      <c r="E57" s="128"/>
      <c r="F57" s="129">
        <f>E57*D57</f>
        <v>0</v>
      </c>
      <c r="G57" s="128"/>
      <c r="H57" s="129"/>
      <c r="I57" s="129">
        <f>F57+H57</f>
        <v>0</v>
      </c>
      <c r="J57" s="30"/>
    </row>
    <row r="58" spans="1:10" ht="19.5" customHeight="1">
      <c r="A58" s="125"/>
      <c r="B58" s="126" t="s">
        <v>171</v>
      </c>
      <c r="C58" s="125" t="s">
        <v>42</v>
      </c>
      <c r="D58" s="130">
        <v>4</v>
      </c>
      <c r="E58" s="128"/>
      <c r="F58" s="129">
        <f>E58*D58</f>
        <v>0</v>
      </c>
      <c r="G58" s="128"/>
      <c r="H58" s="129"/>
      <c r="I58" s="129">
        <f>F58+H58</f>
        <v>0</v>
      </c>
      <c r="J58" s="80"/>
    </row>
    <row r="59" spans="1:10" ht="19.5" customHeight="1">
      <c r="A59" s="125"/>
      <c r="B59" s="126" t="s">
        <v>172</v>
      </c>
      <c r="C59" s="125" t="s">
        <v>6</v>
      </c>
      <c r="D59" s="130">
        <v>50</v>
      </c>
      <c r="E59" s="128"/>
      <c r="F59" s="129">
        <f>E59*D59</f>
        <v>0</v>
      </c>
      <c r="G59" s="128"/>
      <c r="H59" s="129"/>
      <c r="I59" s="129">
        <f>F59+H59</f>
        <v>0</v>
      </c>
      <c r="J59" s="80"/>
    </row>
    <row r="60" spans="1:10" ht="19.5" customHeight="1">
      <c r="A60" s="125"/>
      <c r="B60" s="126" t="s">
        <v>173</v>
      </c>
      <c r="C60" s="125" t="s">
        <v>6</v>
      </c>
      <c r="D60" s="130">
        <v>28</v>
      </c>
      <c r="E60" s="128"/>
      <c r="F60" s="129">
        <f>E60*D60</f>
        <v>0</v>
      </c>
      <c r="G60" s="128"/>
      <c r="H60" s="129"/>
      <c r="I60" s="129">
        <f>F60+H60</f>
        <v>0</v>
      </c>
      <c r="J60" s="80"/>
    </row>
    <row r="61" spans="1:13" ht="6.75" customHeight="1">
      <c r="A61" s="91"/>
      <c r="B61" s="26"/>
      <c r="C61" s="91"/>
      <c r="D61" s="3"/>
      <c r="E61" s="18"/>
      <c r="F61" s="5"/>
      <c r="G61" s="18"/>
      <c r="H61" s="5"/>
      <c r="I61" s="5"/>
      <c r="J61" s="21"/>
      <c r="K61" s="21"/>
      <c r="L61" s="21"/>
      <c r="M61" s="1"/>
    </row>
    <row r="62" spans="1:9" ht="27" customHeight="1">
      <c r="A62" s="91"/>
      <c r="B62" s="27" t="s">
        <v>60</v>
      </c>
      <c r="C62" s="91"/>
      <c r="D62" s="3"/>
      <c r="E62" s="4"/>
      <c r="F62" s="5">
        <f>SUM(F55:F61)</f>
        <v>0</v>
      </c>
      <c r="G62" s="4"/>
      <c r="H62" s="5">
        <f>SUM(H55:H61)</f>
        <v>0</v>
      </c>
      <c r="I62" s="5">
        <f>F62+H62</f>
        <v>0</v>
      </c>
    </row>
    <row r="63" spans="1:9" ht="9" customHeight="1">
      <c r="A63" s="166"/>
      <c r="B63" s="167"/>
      <c r="C63" s="167"/>
      <c r="D63" s="167"/>
      <c r="E63" s="167"/>
      <c r="F63" s="167"/>
      <c r="G63" s="167"/>
      <c r="H63" s="167"/>
      <c r="I63" s="168"/>
    </row>
    <row r="64" spans="1:9" ht="29.25" customHeight="1">
      <c r="A64" s="76"/>
      <c r="B64" s="27" t="s">
        <v>174</v>
      </c>
      <c r="C64" s="76"/>
      <c r="D64" s="3"/>
      <c r="E64" s="4"/>
      <c r="F64" s="5">
        <f>F34+F17+F44+F54+F62</f>
        <v>0</v>
      </c>
      <c r="G64" s="4"/>
      <c r="H64" s="5">
        <f>H34+H17+H44+H54+H62</f>
        <v>0</v>
      </c>
      <c r="I64" s="5">
        <f>F64+H64</f>
        <v>0</v>
      </c>
    </row>
    <row r="65" spans="1:9" ht="33.75" customHeight="1">
      <c r="A65" s="76"/>
      <c r="B65" s="28" t="s">
        <v>147</v>
      </c>
      <c r="C65" s="22">
        <v>0</v>
      </c>
      <c r="D65" s="3"/>
      <c r="E65" s="4"/>
      <c r="F65" s="5"/>
      <c r="G65" s="4"/>
      <c r="H65" s="23"/>
      <c r="I65" s="5">
        <f>F64*C65</f>
        <v>0</v>
      </c>
    </row>
    <row r="66" spans="1:9" ht="25.5" customHeight="1">
      <c r="A66" s="76"/>
      <c r="B66" s="28" t="s">
        <v>13</v>
      </c>
      <c r="C66" s="76"/>
      <c r="D66" s="3"/>
      <c r="E66" s="4"/>
      <c r="F66" s="5"/>
      <c r="G66" s="4"/>
      <c r="H66" s="23"/>
      <c r="I66" s="5">
        <f>I64+I65</f>
        <v>0</v>
      </c>
    </row>
    <row r="67" spans="1:9" ht="25.5" customHeight="1">
      <c r="A67" s="76"/>
      <c r="B67" s="28" t="s">
        <v>146</v>
      </c>
      <c r="C67" s="22">
        <v>0</v>
      </c>
      <c r="D67" s="3"/>
      <c r="E67" s="4"/>
      <c r="F67" s="5"/>
      <c r="G67" s="4"/>
      <c r="H67" s="23"/>
      <c r="I67" s="5">
        <f>I66*C67</f>
        <v>0</v>
      </c>
    </row>
    <row r="68" spans="1:9" ht="25.5" customHeight="1">
      <c r="A68" s="76"/>
      <c r="B68" s="28" t="s">
        <v>13</v>
      </c>
      <c r="C68" s="76"/>
      <c r="D68" s="3"/>
      <c r="E68" s="4"/>
      <c r="F68" s="5"/>
      <c r="G68" s="4"/>
      <c r="H68" s="23"/>
      <c r="I68" s="5">
        <f>I66+I67</f>
        <v>0</v>
      </c>
    </row>
    <row r="69" spans="1:9" ht="25.5" customHeight="1">
      <c r="A69" s="76"/>
      <c r="B69" s="28" t="s">
        <v>93</v>
      </c>
      <c r="C69" s="24">
        <v>0</v>
      </c>
      <c r="D69" s="3"/>
      <c r="E69" s="4"/>
      <c r="F69" s="5"/>
      <c r="G69" s="4"/>
      <c r="H69" s="23"/>
      <c r="I69" s="5">
        <f>I68*C69</f>
        <v>0</v>
      </c>
    </row>
    <row r="70" spans="1:9" ht="25.5" customHeight="1">
      <c r="A70" s="76"/>
      <c r="B70" s="28" t="s">
        <v>2</v>
      </c>
      <c r="C70" s="76"/>
      <c r="D70" s="3"/>
      <c r="E70" s="4"/>
      <c r="F70" s="5"/>
      <c r="G70" s="4"/>
      <c r="H70" s="23"/>
      <c r="I70" s="5">
        <f>I69+I68</f>
        <v>0</v>
      </c>
    </row>
    <row r="71" spans="1:9" ht="25.5" customHeight="1">
      <c r="A71" s="76"/>
      <c r="B71" s="28" t="s">
        <v>94</v>
      </c>
      <c r="C71" s="24">
        <v>0</v>
      </c>
      <c r="D71" s="3"/>
      <c r="E71" s="4"/>
      <c r="F71" s="5"/>
      <c r="G71" s="4"/>
      <c r="H71" s="23"/>
      <c r="I71" s="5">
        <f>I70*C71</f>
        <v>0</v>
      </c>
    </row>
    <row r="72" spans="1:9" ht="25.5" customHeight="1">
      <c r="A72" s="76"/>
      <c r="B72" s="28" t="s">
        <v>2</v>
      </c>
      <c r="C72" s="76"/>
      <c r="D72" s="3"/>
      <c r="E72" s="4"/>
      <c r="F72" s="5"/>
      <c r="G72" s="4"/>
      <c r="H72" s="23"/>
      <c r="I72" s="5">
        <f>I71+I70</f>
        <v>0</v>
      </c>
    </row>
    <row r="73" spans="1:9" ht="25.5" customHeight="1">
      <c r="A73" s="76"/>
      <c r="B73" s="28" t="s">
        <v>95</v>
      </c>
      <c r="C73" s="24">
        <v>0.18</v>
      </c>
      <c r="D73" s="3"/>
      <c r="E73" s="4"/>
      <c r="F73" s="5"/>
      <c r="G73" s="4"/>
      <c r="H73" s="23"/>
      <c r="I73" s="5">
        <f>I72*C73</f>
        <v>0</v>
      </c>
    </row>
    <row r="74" spans="1:9" ht="25.5" customHeight="1">
      <c r="A74" s="76"/>
      <c r="B74" s="28" t="s">
        <v>35</v>
      </c>
      <c r="C74" s="76"/>
      <c r="D74" s="3"/>
      <c r="E74" s="4"/>
      <c r="F74" s="5"/>
      <c r="G74" s="4"/>
      <c r="H74" s="23"/>
      <c r="I74" s="5">
        <f>I73+I72</f>
        <v>0</v>
      </c>
    </row>
  </sheetData>
  <sheetProtection/>
  <mergeCells count="18">
    <mergeCell ref="G6:H6"/>
    <mergeCell ref="I6:I7"/>
    <mergeCell ref="A9:I9"/>
    <mergeCell ref="A18:I18"/>
    <mergeCell ref="A63:I63"/>
    <mergeCell ref="A35:I35"/>
    <mergeCell ref="A45:I45"/>
    <mergeCell ref="A55:I55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F6"/>
  </mergeCells>
  <printOptions/>
  <pageMargins left="0.25" right="0.25" top="0.25" bottom="0.2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zoomScaleSheetLayoutView="100" zoomScalePageLayoutView="0" workbookViewId="0" topLeftCell="A21">
      <selection activeCell="C31" sqref="C31"/>
    </sheetView>
  </sheetViews>
  <sheetFormatPr defaultColWidth="9.140625" defaultRowHeight="12.75"/>
  <cols>
    <col min="1" max="1" width="3.28125" style="1" customWidth="1"/>
    <col min="2" max="2" width="37.57421875" style="1" customWidth="1"/>
    <col min="3" max="3" width="7.421875" style="1" customWidth="1"/>
    <col min="4" max="4" width="6.8515625" style="1" customWidth="1"/>
    <col min="5" max="5" width="7.57421875" style="1" customWidth="1"/>
    <col min="6" max="6" width="9.7109375" style="1" customWidth="1"/>
    <col min="7" max="7" width="7.5742187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14</v>
      </c>
      <c r="B3" s="158"/>
      <c r="C3" s="158"/>
      <c r="D3" s="158"/>
      <c r="E3" s="158"/>
      <c r="F3" s="158"/>
      <c r="G3" s="158"/>
      <c r="H3" s="158"/>
      <c r="I3" s="158"/>
    </row>
    <row r="4" spans="1:9" ht="37.5" customHeight="1">
      <c r="A4" s="159" t="s">
        <v>177</v>
      </c>
      <c r="B4" s="159"/>
      <c r="C4" s="159"/>
      <c r="D4" s="159"/>
      <c r="E4" s="159"/>
      <c r="F4" s="159"/>
      <c r="G4" s="159"/>
      <c r="H4" s="159"/>
      <c r="I4" s="159"/>
    </row>
    <row r="5" spans="1:9" ht="6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6.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61" t="s">
        <v>9</v>
      </c>
      <c r="F7" s="61" t="s">
        <v>1</v>
      </c>
      <c r="G7" s="61" t="s">
        <v>9</v>
      </c>
      <c r="H7" s="61" t="s">
        <v>1</v>
      </c>
      <c r="I7" s="162"/>
    </row>
    <row r="8" spans="1:9" ht="14.2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</row>
    <row r="9" spans="1:9" ht="22.5" customHeight="1">
      <c r="A9" s="153" t="s">
        <v>178</v>
      </c>
      <c r="B9" s="154"/>
      <c r="C9" s="154"/>
      <c r="D9" s="154"/>
      <c r="E9" s="154"/>
      <c r="F9" s="154"/>
      <c r="G9" s="154"/>
      <c r="H9" s="154"/>
      <c r="I9" s="155"/>
    </row>
    <row r="10" spans="1:9" ht="55.5" customHeight="1">
      <c r="A10" s="106">
        <v>1</v>
      </c>
      <c r="B10" s="26" t="s">
        <v>218</v>
      </c>
      <c r="C10" s="106" t="s">
        <v>42</v>
      </c>
      <c r="D10" s="3">
        <v>1</v>
      </c>
      <c r="E10" s="29"/>
      <c r="F10" s="5">
        <f>E10*D10</f>
        <v>0</v>
      </c>
      <c r="G10" s="18"/>
      <c r="H10" s="5">
        <f>G10*D10</f>
        <v>0</v>
      </c>
      <c r="I10" s="5">
        <f aca="true" t="shared" si="0" ref="I10:I15">F10+H10</f>
        <v>0</v>
      </c>
    </row>
    <row r="11" spans="1:9" ht="24.75" customHeight="1">
      <c r="A11" s="76">
        <v>2</v>
      </c>
      <c r="B11" s="26" t="s">
        <v>179</v>
      </c>
      <c r="C11" s="76" t="s">
        <v>27</v>
      </c>
      <c r="D11" s="3">
        <v>1</v>
      </c>
      <c r="E11" s="29"/>
      <c r="F11" s="5"/>
      <c r="G11" s="18"/>
      <c r="H11" s="5">
        <f>G11*D11</f>
        <v>0</v>
      </c>
      <c r="I11" s="5">
        <f t="shared" si="0"/>
        <v>0</v>
      </c>
    </row>
    <row r="12" spans="1:9" ht="20.25" customHeight="1">
      <c r="A12" s="76"/>
      <c r="B12" s="36" t="s">
        <v>29</v>
      </c>
      <c r="C12" s="76" t="s">
        <v>12</v>
      </c>
      <c r="D12" s="4">
        <f>1.2*4*2.5*1.1*0.05*4</f>
        <v>2.6400000000000006</v>
      </c>
      <c r="E12" s="29"/>
      <c r="F12" s="5">
        <f>E12*D12</f>
        <v>0</v>
      </c>
      <c r="G12" s="18"/>
      <c r="H12" s="5"/>
      <c r="I12" s="5">
        <f t="shared" si="0"/>
        <v>0</v>
      </c>
    </row>
    <row r="13" spans="1:9" ht="20.25" customHeight="1">
      <c r="A13" s="76"/>
      <c r="B13" s="36" t="s">
        <v>30</v>
      </c>
      <c r="C13" s="76" t="s">
        <v>26</v>
      </c>
      <c r="D13" s="4">
        <f>2.4*4</f>
        <v>9.6</v>
      </c>
      <c r="E13" s="29"/>
      <c r="F13" s="5">
        <f>E13*D13</f>
        <v>0</v>
      </c>
      <c r="G13" s="18"/>
      <c r="H13" s="5"/>
      <c r="I13" s="5">
        <f t="shared" si="0"/>
        <v>0</v>
      </c>
    </row>
    <row r="14" spans="1:9" ht="35.25" customHeight="1">
      <c r="A14" s="76"/>
      <c r="B14" s="36" t="s">
        <v>31</v>
      </c>
      <c r="C14" s="76" t="s">
        <v>32</v>
      </c>
      <c r="D14" s="3">
        <v>1</v>
      </c>
      <c r="E14" s="29"/>
      <c r="F14" s="5">
        <f>E14*D14</f>
        <v>0</v>
      </c>
      <c r="G14" s="18"/>
      <c r="H14" s="5"/>
      <c r="I14" s="5">
        <f t="shared" si="0"/>
        <v>0</v>
      </c>
    </row>
    <row r="15" spans="1:9" ht="29.25" customHeight="1">
      <c r="A15" s="65">
        <v>3</v>
      </c>
      <c r="B15" s="26" t="s">
        <v>363</v>
      </c>
      <c r="C15" s="76" t="s">
        <v>180</v>
      </c>
      <c r="D15" s="3">
        <v>6</v>
      </c>
      <c r="E15" s="29"/>
      <c r="F15" s="5">
        <f>E15*D15</f>
        <v>0</v>
      </c>
      <c r="G15" s="18"/>
      <c r="H15" s="5">
        <f>G15*D15</f>
        <v>0</v>
      </c>
      <c r="I15" s="5">
        <f t="shared" si="0"/>
        <v>0</v>
      </c>
    </row>
    <row r="16" spans="1:9" ht="69" customHeight="1">
      <c r="A16" s="135">
        <v>4</v>
      </c>
      <c r="B16" s="26" t="s">
        <v>364</v>
      </c>
      <c r="C16" s="135" t="s">
        <v>365</v>
      </c>
      <c r="D16" s="3">
        <v>12</v>
      </c>
      <c r="E16" s="29"/>
      <c r="F16" s="5">
        <f>E16*D16</f>
        <v>0</v>
      </c>
      <c r="G16" s="18"/>
      <c r="H16" s="5">
        <f>G16*D16</f>
        <v>0</v>
      </c>
      <c r="I16" s="5">
        <f>F16+H16</f>
        <v>0</v>
      </c>
    </row>
    <row r="17" spans="1:9" ht="5.25" customHeight="1">
      <c r="A17" s="65"/>
      <c r="B17" s="26"/>
      <c r="C17" s="65"/>
      <c r="D17" s="3"/>
      <c r="E17" s="29"/>
      <c r="F17" s="5"/>
      <c r="G17" s="18"/>
      <c r="H17" s="5"/>
      <c r="I17" s="5"/>
    </row>
    <row r="18" spans="1:9" ht="27.75" customHeight="1">
      <c r="A18" s="65"/>
      <c r="B18" s="27" t="s">
        <v>15</v>
      </c>
      <c r="C18" s="65"/>
      <c r="D18" s="3"/>
      <c r="E18" s="4"/>
      <c r="F18" s="5">
        <f>SUM(F10:F17)</f>
        <v>0</v>
      </c>
      <c r="G18" s="4"/>
      <c r="H18" s="5">
        <f>SUM(H10:H17)</f>
        <v>0</v>
      </c>
      <c r="I18" s="5">
        <f>H18+F18</f>
        <v>0</v>
      </c>
    </row>
    <row r="19" spans="1:9" ht="22.5" customHeight="1">
      <c r="A19" s="153" t="s">
        <v>246</v>
      </c>
      <c r="B19" s="154"/>
      <c r="C19" s="154"/>
      <c r="D19" s="154"/>
      <c r="E19" s="154"/>
      <c r="F19" s="154"/>
      <c r="G19" s="154"/>
      <c r="H19" s="154"/>
      <c r="I19" s="155"/>
    </row>
    <row r="20" spans="1:9" ht="24.75" customHeight="1">
      <c r="A20" s="60">
        <v>1</v>
      </c>
      <c r="B20" s="26" t="s">
        <v>247</v>
      </c>
      <c r="C20" s="60" t="s">
        <v>27</v>
      </c>
      <c r="D20" s="3">
        <v>1</v>
      </c>
      <c r="E20" s="29"/>
      <c r="F20" s="5"/>
      <c r="G20" s="18">
        <v>0</v>
      </c>
      <c r="H20" s="5">
        <f>G20*D20</f>
        <v>0</v>
      </c>
      <c r="I20" s="5">
        <f>F20+H20</f>
        <v>0</v>
      </c>
    </row>
    <row r="21" spans="1:9" ht="5.25" customHeight="1">
      <c r="A21" s="60"/>
      <c r="B21" s="26"/>
      <c r="C21" s="60"/>
      <c r="D21" s="3"/>
      <c r="E21" s="29"/>
      <c r="F21" s="5"/>
      <c r="G21" s="18"/>
      <c r="H21" s="5"/>
      <c r="I21" s="5"/>
    </row>
    <row r="22" spans="1:9" ht="27.75" customHeight="1">
      <c r="A22" s="60"/>
      <c r="B22" s="27" t="s">
        <v>16</v>
      </c>
      <c r="C22" s="60"/>
      <c r="D22" s="3"/>
      <c r="E22" s="4"/>
      <c r="F22" s="5"/>
      <c r="G22" s="4"/>
      <c r="H22" s="5">
        <f>SUM(H20:H21)</f>
        <v>0</v>
      </c>
      <c r="I22" s="5">
        <f>H22+F22</f>
        <v>0</v>
      </c>
    </row>
    <row r="23" spans="1:9" ht="6" customHeight="1">
      <c r="A23" s="101"/>
      <c r="B23" s="102" t="s">
        <v>252</v>
      </c>
      <c r="C23" s="102"/>
      <c r="D23" s="102"/>
      <c r="E23" s="102"/>
      <c r="F23" s="102"/>
      <c r="G23" s="102"/>
      <c r="H23" s="102"/>
      <c r="I23" s="103"/>
    </row>
    <row r="24" spans="1:9" ht="29.25" customHeight="1">
      <c r="A24" s="60"/>
      <c r="B24" s="27" t="s">
        <v>49</v>
      </c>
      <c r="C24" s="60"/>
      <c r="D24" s="3"/>
      <c r="E24" s="4"/>
      <c r="F24" s="5"/>
      <c r="G24" s="4"/>
      <c r="H24" s="5">
        <f>H22+H18</f>
        <v>0</v>
      </c>
      <c r="I24" s="5">
        <f>F24+H24</f>
        <v>0</v>
      </c>
    </row>
    <row r="25" spans="1:9" ht="33.75" customHeight="1">
      <c r="A25" s="92"/>
      <c r="B25" s="28" t="s">
        <v>147</v>
      </c>
      <c r="C25" s="22">
        <v>0</v>
      </c>
      <c r="D25" s="3"/>
      <c r="E25" s="4"/>
      <c r="F25" s="5"/>
      <c r="G25" s="4"/>
      <c r="H25" s="23"/>
      <c r="I25" s="5">
        <f>F24*C25</f>
        <v>0</v>
      </c>
    </row>
    <row r="26" spans="1:9" ht="25.5" customHeight="1">
      <c r="A26" s="92"/>
      <c r="B26" s="28" t="s">
        <v>13</v>
      </c>
      <c r="C26" s="92"/>
      <c r="D26" s="3"/>
      <c r="E26" s="4"/>
      <c r="F26" s="5"/>
      <c r="G26" s="4"/>
      <c r="H26" s="23"/>
      <c r="I26" s="5">
        <f>I24+I25</f>
        <v>0</v>
      </c>
    </row>
    <row r="27" spans="1:9" ht="25.5" customHeight="1">
      <c r="A27" s="92"/>
      <c r="B27" s="28" t="s">
        <v>146</v>
      </c>
      <c r="C27" s="22">
        <v>0</v>
      </c>
      <c r="D27" s="3"/>
      <c r="E27" s="4"/>
      <c r="F27" s="5"/>
      <c r="G27" s="4"/>
      <c r="H27" s="23"/>
      <c r="I27" s="5">
        <f>I26*C27</f>
        <v>0</v>
      </c>
    </row>
    <row r="28" spans="1:9" ht="25.5" customHeight="1">
      <c r="A28" s="92"/>
      <c r="B28" s="28" t="s">
        <v>13</v>
      </c>
      <c r="C28" s="92"/>
      <c r="D28" s="3"/>
      <c r="E28" s="4"/>
      <c r="F28" s="5"/>
      <c r="G28" s="4"/>
      <c r="H28" s="23"/>
      <c r="I28" s="5">
        <f>I26+I27</f>
        <v>0</v>
      </c>
    </row>
    <row r="29" spans="1:14" ht="25.5" customHeight="1">
      <c r="A29" s="92"/>
      <c r="B29" s="28" t="s">
        <v>93</v>
      </c>
      <c r="C29" s="24">
        <v>0</v>
      </c>
      <c r="D29" s="3"/>
      <c r="E29" s="4"/>
      <c r="F29" s="5"/>
      <c r="G29" s="4"/>
      <c r="H29" s="23"/>
      <c r="I29" s="5">
        <f>I28*C29</f>
        <v>0</v>
      </c>
      <c r="K29" s="1"/>
      <c r="L29" s="1"/>
      <c r="M29" s="1"/>
      <c r="N29" s="2"/>
    </row>
    <row r="30" spans="1:14" ht="25.5" customHeight="1">
      <c r="A30" s="92"/>
      <c r="B30" s="28" t="s">
        <v>2</v>
      </c>
      <c r="C30" s="92"/>
      <c r="D30" s="3"/>
      <c r="E30" s="4"/>
      <c r="F30" s="5"/>
      <c r="G30" s="4"/>
      <c r="H30" s="23"/>
      <c r="I30" s="5">
        <f>I29+I28</f>
        <v>0</v>
      </c>
      <c r="K30" s="1"/>
      <c r="L30" s="1"/>
      <c r="M30" s="1"/>
      <c r="N30" s="1"/>
    </row>
    <row r="31" spans="1:14" ht="25.5" customHeight="1">
      <c r="A31" s="92"/>
      <c r="B31" s="28" t="s">
        <v>94</v>
      </c>
      <c r="C31" s="24">
        <v>0</v>
      </c>
      <c r="D31" s="3"/>
      <c r="E31" s="4"/>
      <c r="F31" s="5"/>
      <c r="G31" s="4"/>
      <c r="H31" s="23"/>
      <c r="I31" s="5">
        <f>I30*C31</f>
        <v>0</v>
      </c>
      <c r="K31" s="2"/>
      <c r="L31" s="1"/>
      <c r="M31" s="1"/>
      <c r="N31" s="123"/>
    </row>
    <row r="32" spans="1:9" ht="25.5" customHeight="1">
      <c r="A32" s="92"/>
      <c r="B32" s="28" t="s">
        <v>2</v>
      </c>
      <c r="C32" s="92"/>
      <c r="D32" s="3"/>
      <c r="E32" s="4"/>
      <c r="F32" s="5"/>
      <c r="G32" s="4"/>
      <c r="H32" s="23"/>
      <c r="I32" s="5">
        <f>I31+I30</f>
        <v>0</v>
      </c>
    </row>
    <row r="33" spans="1:9" ht="25.5" customHeight="1">
      <c r="A33" s="92"/>
      <c r="B33" s="28" t="s">
        <v>95</v>
      </c>
      <c r="C33" s="24">
        <v>0.18</v>
      </c>
      <c r="D33" s="3"/>
      <c r="E33" s="4"/>
      <c r="F33" s="5"/>
      <c r="G33" s="4"/>
      <c r="H33" s="23"/>
      <c r="I33" s="5">
        <f>I32*C33</f>
        <v>0</v>
      </c>
    </row>
    <row r="34" spans="1:9" ht="25.5" customHeight="1">
      <c r="A34" s="92"/>
      <c r="B34" s="28" t="s">
        <v>35</v>
      </c>
      <c r="C34" s="92"/>
      <c r="D34" s="3"/>
      <c r="E34" s="4"/>
      <c r="F34" s="5"/>
      <c r="G34" s="4"/>
      <c r="H34" s="23"/>
      <c r="I34" s="5">
        <f>I33+I32</f>
        <v>0</v>
      </c>
    </row>
    <row r="35" spans="1:9" ht="15">
      <c r="A35" s="19"/>
      <c r="B35" s="20"/>
      <c r="C35" s="16"/>
      <c r="D35" s="21"/>
      <c r="E35" s="35"/>
      <c r="F35" s="21"/>
      <c r="G35" s="35"/>
      <c r="H35" s="21"/>
      <c r="I35" s="21"/>
    </row>
    <row r="36" spans="1:9" ht="14.25">
      <c r="A36" s="19"/>
      <c r="B36" s="16"/>
      <c r="C36" s="16"/>
      <c r="D36" s="21"/>
      <c r="E36" s="35"/>
      <c r="F36" s="21"/>
      <c r="G36" s="35"/>
      <c r="H36" s="21"/>
      <c r="I36" s="21"/>
    </row>
    <row r="37" spans="1:9" ht="14.25">
      <c r="A37" s="19"/>
      <c r="B37" s="16"/>
      <c r="C37" s="16"/>
      <c r="D37" s="21"/>
      <c r="E37" s="35"/>
      <c r="F37" s="21"/>
      <c r="G37" s="35"/>
      <c r="H37" s="21"/>
      <c r="I37" s="21"/>
    </row>
    <row r="38" spans="1:9" ht="14.25">
      <c r="A38" s="19"/>
      <c r="B38" s="16"/>
      <c r="C38" s="16"/>
      <c r="D38" s="21"/>
      <c r="E38" s="35"/>
      <c r="F38" s="21"/>
      <c r="G38" s="35"/>
      <c r="H38" s="21"/>
      <c r="I38" s="21"/>
    </row>
    <row r="39" spans="1:6" ht="12.75">
      <c r="A39" s="25"/>
      <c r="F39" s="2"/>
    </row>
    <row r="40" ht="12.75">
      <c r="F40" s="2"/>
    </row>
    <row r="41" ht="12.75">
      <c r="F41" s="2"/>
    </row>
  </sheetData>
  <sheetProtection/>
  <mergeCells count="14">
    <mergeCell ref="E6:F6"/>
    <mergeCell ref="A9:I9"/>
    <mergeCell ref="G6:H6"/>
    <mergeCell ref="I6:I7"/>
    <mergeCell ref="A19:I19"/>
    <mergeCell ref="A1:I1"/>
    <mergeCell ref="A2:I2"/>
    <mergeCell ref="A3:I3"/>
    <mergeCell ref="A4:I4"/>
    <mergeCell ref="A5:I5"/>
    <mergeCell ref="A6:A7"/>
    <mergeCell ref="B6:B7"/>
    <mergeCell ref="C6:C7"/>
    <mergeCell ref="D6:D7"/>
  </mergeCells>
  <printOptions/>
  <pageMargins left="0.31" right="0.25" top="0.25" bottom="0.25" header="0.3" footer="0.3"/>
  <pageSetup horizontalDpi="300" verticalDpi="300" orientation="portrait" paperSize="9" r:id="rId1"/>
  <ignoredErrors>
    <ignoredError sqref="I27 I30 I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5"/>
  <sheetViews>
    <sheetView zoomScaleSheetLayoutView="100" zoomScalePageLayoutView="0" workbookViewId="0" topLeftCell="A109">
      <selection activeCell="C119" sqref="C119"/>
    </sheetView>
  </sheetViews>
  <sheetFormatPr defaultColWidth="9.140625" defaultRowHeight="12.75"/>
  <cols>
    <col min="1" max="1" width="3.00390625" style="1" customWidth="1"/>
    <col min="2" max="2" width="36.140625" style="1" customWidth="1"/>
    <col min="3" max="3" width="7.140625" style="1" customWidth="1"/>
    <col min="4" max="4" width="7.28125" style="1" customWidth="1"/>
    <col min="5" max="5" width="7.8515625" style="1" customWidth="1"/>
    <col min="6" max="6" width="9.7109375" style="1" customWidth="1"/>
    <col min="7" max="7" width="7.421875" style="1" customWidth="1"/>
    <col min="8" max="8" width="9.421875" style="1" customWidth="1"/>
    <col min="9" max="9" width="11.421875" style="1" customWidth="1"/>
    <col min="10" max="11" width="9.140625" style="30" customWidth="1"/>
    <col min="12" max="12" width="12.8515625" style="30" customWidth="1"/>
    <col min="13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47</v>
      </c>
      <c r="B3" s="158"/>
      <c r="C3" s="158"/>
      <c r="D3" s="158"/>
      <c r="E3" s="158"/>
      <c r="F3" s="158"/>
      <c r="G3" s="158"/>
      <c r="H3" s="158"/>
      <c r="I3" s="158"/>
    </row>
    <row r="4" spans="1:9" ht="21" customHeight="1">
      <c r="A4" s="158" t="s">
        <v>22</v>
      </c>
      <c r="B4" s="158"/>
      <c r="C4" s="158"/>
      <c r="D4" s="158"/>
      <c r="E4" s="158"/>
      <c r="F4" s="158"/>
      <c r="G4" s="158"/>
      <c r="H4" s="158"/>
      <c r="I4" s="158"/>
    </row>
    <row r="5" spans="1:9" ht="6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6.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61" t="s">
        <v>9</v>
      </c>
      <c r="F7" s="61" t="s">
        <v>1</v>
      </c>
      <c r="G7" s="61" t="s">
        <v>9</v>
      </c>
      <c r="H7" s="61" t="s">
        <v>1</v>
      </c>
      <c r="I7" s="162"/>
    </row>
    <row r="8" spans="1:9" ht="14.2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</row>
    <row r="9" spans="1:9" ht="24.75" customHeight="1">
      <c r="A9" s="153" t="s">
        <v>36</v>
      </c>
      <c r="B9" s="154"/>
      <c r="C9" s="154"/>
      <c r="D9" s="154"/>
      <c r="E9" s="154"/>
      <c r="F9" s="154"/>
      <c r="G9" s="154"/>
      <c r="H9" s="154"/>
      <c r="I9" s="155"/>
    </row>
    <row r="10" spans="1:9" ht="55.5" customHeight="1">
      <c r="A10" s="145">
        <v>1</v>
      </c>
      <c r="B10" s="26" t="s">
        <v>37</v>
      </c>
      <c r="C10" s="76" t="s">
        <v>12</v>
      </c>
      <c r="D10" s="3">
        <f>750*3.8*1.2</f>
        <v>3420</v>
      </c>
      <c r="E10" s="29"/>
      <c r="F10" s="5"/>
      <c r="G10" s="77"/>
      <c r="H10" s="5">
        <f>G10*D10</f>
        <v>0</v>
      </c>
      <c r="I10" s="5">
        <f aca="true" t="shared" si="0" ref="I10:I39">F10+H10</f>
        <v>0</v>
      </c>
    </row>
    <row r="11" spans="1:9" ht="36.75" customHeight="1">
      <c r="A11" s="145">
        <v>2</v>
      </c>
      <c r="B11" s="26" t="s">
        <v>96</v>
      </c>
      <c r="C11" s="60" t="s">
        <v>12</v>
      </c>
      <c r="D11" s="3">
        <f>(D10-D10*0.2)*1.35</f>
        <v>3693.6000000000004</v>
      </c>
      <c r="E11" s="29"/>
      <c r="F11" s="5"/>
      <c r="G11" s="77"/>
      <c r="H11" s="5">
        <f>G11*D11</f>
        <v>0</v>
      </c>
      <c r="I11" s="5">
        <f t="shared" si="0"/>
        <v>0</v>
      </c>
    </row>
    <row r="12" spans="1:9" ht="65.25" customHeight="1">
      <c r="A12" s="145">
        <v>3</v>
      </c>
      <c r="B12" s="26" t="s">
        <v>222</v>
      </c>
      <c r="C12" s="60" t="s">
        <v>28</v>
      </c>
      <c r="D12" s="3">
        <f>700*0.2</f>
        <v>140</v>
      </c>
      <c r="E12" s="18"/>
      <c r="F12" s="5"/>
      <c r="G12" s="18"/>
      <c r="H12" s="5">
        <f>G12*D12</f>
        <v>0</v>
      </c>
      <c r="I12" s="5">
        <f t="shared" si="0"/>
        <v>0</v>
      </c>
    </row>
    <row r="13" spans="1:9" ht="20.25" customHeight="1">
      <c r="A13" s="60"/>
      <c r="B13" s="36" t="s">
        <v>194</v>
      </c>
      <c r="C13" s="60" t="s">
        <v>12</v>
      </c>
      <c r="D13" s="3">
        <f>D12*1.04</f>
        <v>145.6</v>
      </c>
      <c r="E13" s="29"/>
      <c r="F13" s="5">
        <f>E13*D13</f>
        <v>0</v>
      </c>
      <c r="G13" s="18"/>
      <c r="H13" s="5"/>
      <c r="I13" s="5">
        <f t="shared" si="0"/>
        <v>0</v>
      </c>
    </row>
    <row r="14" spans="1:9" ht="20.25" customHeight="1">
      <c r="A14" s="92"/>
      <c r="B14" s="36" t="s">
        <v>223</v>
      </c>
      <c r="C14" s="92" t="s">
        <v>5</v>
      </c>
      <c r="D14" s="3">
        <v>670</v>
      </c>
      <c r="E14" s="29"/>
      <c r="F14" s="5">
        <f>E14*D14</f>
        <v>0</v>
      </c>
      <c r="G14" s="18"/>
      <c r="H14" s="5"/>
      <c r="I14" s="5">
        <f t="shared" si="0"/>
        <v>0</v>
      </c>
    </row>
    <row r="15" spans="1:9" ht="38.25" customHeight="1">
      <c r="A15" s="145">
        <v>4</v>
      </c>
      <c r="B15" s="26" t="s">
        <v>381</v>
      </c>
      <c r="C15" s="135" t="s">
        <v>28</v>
      </c>
      <c r="D15" s="3">
        <f>615.2+D16</f>
        <v>692.75</v>
      </c>
      <c r="E15" s="18"/>
      <c r="F15" s="5"/>
      <c r="G15" s="18"/>
      <c r="H15" s="5">
        <f>G15*D15</f>
        <v>0</v>
      </c>
      <c r="I15" s="5">
        <f t="shared" si="0"/>
        <v>0</v>
      </c>
    </row>
    <row r="16" spans="1:9" ht="20.25" customHeight="1">
      <c r="A16" s="135"/>
      <c r="B16" s="36" t="s">
        <v>372</v>
      </c>
      <c r="C16" s="135" t="s">
        <v>12</v>
      </c>
      <c r="D16" s="3">
        <v>77.55</v>
      </c>
      <c r="E16" s="29"/>
      <c r="F16" s="5">
        <f>E16*D16</f>
        <v>0</v>
      </c>
      <c r="G16" s="18"/>
      <c r="H16" s="5"/>
      <c r="I16" s="5">
        <f t="shared" si="0"/>
        <v>0</v>
      </c>
    </row>
    <row r="17" spans="1:9" ht="20.25" customHeight="1">
      <c r="A17" s="135"/>
      <c r="B17" s="36" t="s">
        <v>33</v>
      </c>
      <c r="C17" s="135" t="s">
        <v>12</v>
      </c>
      <c r="D17" s="3">
        <f>D15*1.01</f>
        <v>699.6775</v>
      </c>
      <c r="E17" s="29"/>
      <c r="F17" s="5">
        <f>E17*D17</f>
        <v>0</v>
      </c>
      <c r="G17" s="18"/>
      <c r="H17" s="5"/>
      <c r="I17" s="5">
        <f>F17+H17</f>
        <v>0</v>
      </c>
    </row>
    <row r="18" spans="1:9" ht="20.25" customHeight="1">
      <c r="A18" s="135"/>
      <c r="B18" s="36" t="s">
        <v>370</v>
      </c>
      <c r="C18" s="135" t="s">
        <v>21</v>
      </c>
      <c r="D18" s="37">
        <f>43.83839*1.05</f>
        <v>46.0303095</v>
      </c>
      <c r="E18" s="29"/>
      <c r="F18" s="5">
        <f>E18*D18</f>
        <v>0</v>
      </c>
      <c r="G18" s="18"/>
      <c r="H18" s="5"/>
      <c r="I18" s="5">
        <f t="shared" si="0"/>
        <v>0</v>
      </c>
    </row>
    <row r="19" spans="1:9" ht="20.25" customHeight="1">
      <c r="A19" s="135"/>
      <c r="B19" s="36" t="s">
        <v>371</v>
      </c>
      <c r="C19" s="135" t="s">
        <v>21</v>
      </c>
      <c r="D19" s="37">
        <f>6.36369*1.05</f>
        <v>6.6818745</v>
      </c>
      <c r="E19" s="29"/>
      <c r="F19" s="5">
        <f>E19*D19</f>
        <v>0</v>
      </c>
      <c r="G19" s="18"/>
      <c r="H19" s="5"/>
      <c r="I19" s="5">
        <f>F19+H19</f>
        <v>0</v>
      </c>
    </row>
    <row r="20" spans="1:11" ht="50.25" customHeight="1">
      <c r="A20" s="139"/>
      <c r="B20" s="36" t="s">
        <v>399</v>
      </c>
      <c r="C20" s="139" t="s">
        <v>5</v>
      </c>
      <c r="D20" s="4">
        <f>121.6*0.8*1.1</f>
        <v>107.00800000000001</v>
      </c>
      <c r="E20" s="18"/>
      <c r="F20" s="5">
        <f>E20*D20</f>
        <v>0</v>
      </c>
      <c r="G20" s="18"/>
      <c r="H20" s="5"/>
      <c r="I20" s="5">
        <f t="shared" si="0"/>
        <v>0</v>
      </c>
      <c r="K20" s="142"/>
    </row>
    <row r="21" spans="1:9" ht="38.25" customHeight="1">
      <c r="A21" s="145">
        <v>5</v>
      </c>
      <c r="B21" s="26" t="s">
        <v>380</v>
      </c>
      <c r="C21" s="135" t="s">
        <v>28</v>
      </c>
      <c r="D21" s="3">
        <v>7.7</v>
      </c>
      <c r="E21" s="18"/>
      <c r="F21" s="5"/>
      <c r="G21" s="18"/>
      <c r="H21" s="5">
        <f>G21*D21</f>
        <v>0</v>
      </c>
      <c r="I21" s="5">
        <f>F21+H21</f>
        <v>0</v>
      </c>
    </row>
    <row r="22" spans="1:9" ht="20.25" customHeight="1">
      <c r="A22" s="135"/>
      <c r="B22" s="36" t="s">
        <v>33</v>
      </c>
      <c r="C22" s="135" t="s">
        <v>12</v>
      </c>
      <c r="D22" s="3">
        <f>D21*1.01</f>
        <v>7.777</v>
      </c>
      <c r="E22" s="29"/>
      <c r="F22" s="5">
        <f>E22*D22</f>
        <v>0</v>
      </c>
      <c r="G22" s="18"/>
      <c r="H22" s="5"/>
      <c r="I22" s="5">
        <f>F22+H22</f>
        <v>0</v>
      </c>
    </row>
    <row r="23" spans="1:9" ht="20.25" customHeight="1">
      <c r="A23" s="135"/>
      <c r="B23" s="36" t="s">
        <v>370</v>
      </c>
      <c r="C23" s="135" t="s">
        <v>21</v>
      </c>
      <c r="D23" s="37">
        <f>1037.92/1000*1.05</f>
        <v>1.0898160000000003</v>
      </c>
      <c r="E23" s="29"/>
      <c r="F23" s="5">
        <f>E23*D23</f>
        <v>0</v>
      </c>
      <c r="G23" s="18"/>
      <c r="H23" s="5"/>
      <c r="I23" s="5">
        <f>F23+H23</f>
        <v>0</v>
      </c>
    </row>
    <row r="24" spans="1:9" ht="33" customHeight="1">
      <c r="A24" s="135"/>
      <c r="B24" s="36" t="s">
        <v>34</v>
      </c>
      <c r="C24" s="135" t="s">
        <v>5</v>
      </c>
      <c r="D24" s="4">
        <v>28</v>
      </c>
      <c r="E24" s="18"/>
      <c r="F24" s="5">
        <f>E24*D24</f>
        <v>0</v>
      </c>
      <c r="G24" s="18"/>
      <c r="H24" s="5"/>
      <c r="I24" s="5">
        <f>F24+H24</f>
        <v>0</v>
      </c>
    </row>
    <row r="25" spans="1:11" ht="33" customHeight="1">
      <c r="A25" s="145">
        <v>6</v>
      </c>
      <c r="B25" s="26" t="s">
        <v>224</v>
      </c>
      <c r="C25" s="92" t="s">
        <v>28</v>
      </c>
      <c r="D25" s="3">
        <v>92.4</v>
      </c>
      <c r="E25" s="18"/>
      <c r="F25" s="5"/>
      <c r="G25" s="18"/>
      <c r="H25" s="5">
        <f>G25*D25</f>
        <v>0</v>
      </c>
      <c r="I25" s="5">
        <f t="shared" si="0"/>
        <v>0</v>
      </c>
      <c r="K25" s="21"/>
    </row>
    <row r="26" spans="1:11" ht="20.25" customHeight="1">
      <c r="A26" s="92"/>
      <c r="B26" s="36" t="s">
        <v>33</v>
      </c>
      <c r="C26" s="92" t="s">
        <v>12</v>
      </c>
      <c r="D26" s="3">
        <f>D25*1.05</f>
        <v>97.02000000000001</v>
      </c>
      <c r="E26" s="29"/>
      <c r="F26" s="5">
        <f aca="true" t="shared" si="1" ref="F26:F31">E26*D26</f>
        <v>0</v>
      </c>
      <c r="G26" s="18"/>
      <c r="H26" s="5"/>
      <c r="I26" s="5">
        <f t="shared" si="0"/>
        <v>0</v>
      </c>
      <c r="K26" s="21"/>
    </row>
    <row r="27" spans="1:9" ht="20.25" customHeight="1">
      <c r="A27" s="92"/>
      <c r="B27" s="36" t="s">
        <v>195</v>
      </c>
      <c r="C27" s="92" t="s">
        <v>21</v>
      </c>
      <c r="D27" s="37">
        <f>184.39/1000*1.05</f>
        <v>0.19360950000000002</v>
      </c>
      <c r="E27" s="29"/>
      <c r="F27" s="5">
        <f t="shared" si="1"/>
        <v>0</v>
      </c>
      <c r="G27" s="18"/>
      <c r="H27" s="5"/>
      <c r="I27" s="5">
        <f t="shared" si="0"/>
        <v>0</v>
      </c>
    </row>
    <row r="28" spans="1:9" ht="20.25" customHeight="1">
      <c r="A28" s="92"/>
      <c r="B28" s="36" t="s">
        <v>227</v>
      </c>
      <c r="C28" s="92" t="s">
        <v>21</v>
      </c>
      <c r="D28" s="37">
        <f>7089.41/1000*1.05</f>
        <v>7.443880500000001</v>
      </c>
      <c r="E28" s="29"/>
      <c r="F28" s="5">
        <f t="shared" si="1"/>
        <v>0</v>
      </c>
      <c r="G28" s="18"/>
      <c r="H28" s="5"/>
      <c r="I28" s="5">
        <f t="shared" si="0"/>
        <v>0</v>
      </c>
    </row>
    <row r="29" spans="1:9" ht="20.25" customHeight="1">
      <c r="A29" s="135"/>
      <c r="B29" s="36" t="s">
        <v>373</v>
      </c>
      <c r="C29" s="135" t="s">
        <v>21</v>
      </c>
      <c r="D29" s="37">
        <f>1052.3/1000*1.05</f>
        <v>1.104915</v>
      </c>
      <c r="E29" s="29"/>
      <c r="F29" s="5">
        <f t="shared" si="1"/>
        <v>0</v>
      </c>
      <c r="G29" s="18"/>
      <c r="H29" s="5"/>
      <c r="I29" s="5">
        <f>F29+H29</f>
        <v>0</v>
      </c>
    </row>
    <row r="30" spans="1:9" ht="20.25" customHeight="1">
      <c r="A30" s="135"/>
      <c r="B30" s="36" t="s">
        <v>374</v>
      </c>
      <c r="C30" s="135" t="s">
        <v>21</v>
      </c>
      <c r="D30" s="37">
        <f>2532.12/1000*1.05</f>
        <v>2.658726</v>
      </c>
      <c r="E30" s="29"/>
      <c r="F30" s="5">
        <f t="shared" si="1"/>
        <v>0</v>
      </c>
      <c r="G30" s="18"/>
      <c r="H30" s="5"/>
      <c r="I30" s="5">
        <f>F30+H30</f>
        <v>0</v>
      </c>
    </row>
    <row r="31" spans="1:9" ht="51.75" customHeight="1">
      <c r="A31" s="92"/>
      <c r="B31" s="36" t="s">
        <v>399</v>
      </c>
      <c r="C31" s="92" t="s">
        <v>5</v>
      </c>
      <c r="D31" s="3">
        <f>3*4.2*2*18</f>
        <v>453.6</v>
      </c>
      <c r="E31" s="18"/>
      <c r="F31" s="5">
        <f t="shared" si="1"/>
        <v>0</v>
      </c>
      <c r="G31" s="18"/>
      <c r="H31" s="5"/>
      <c r="I31" s="5">
        <f t="shared" si="0"/>
        <v>0</v>
      </c>
    </row>
    <row r="32" spans="1:11" ht="33" customHeight="1">
      <c r="A32" s="146">
        <v>7</v>
      </c>
      <c r="B32" s="26" t="s">
        <v>225</v>
      </c>
      <c r="C32" s="92" t="s">
        <v>28</v>
      </c>
      <c r="D32" s="4">
        <v>243.23</v>
      </c>
      <c r="E32" s="18"/>
      <c r="F32" s="5"/>
      <c r="G32" s="18"/>
      <c r="H32" s="5">
        <f>G32*D32</f>
        <v>0</v>
      </c>
      <c r="I32" s="5">
        <f t="shared" si="0"/>
        <v>0</v>
      </c>
      <c r="K32" s="21"/>
    </row>
    <row r="33" spans="1:11" ht="20.25" customHeight="1">
      <c r="A33" s="92"/>
      <c r="B33" s="36" t="s">
        <v>33</v>
      </c>
      <c r="C33" s="92" t="s">
        <v>12</v>
      </c>
      <c r="D33" s="3">
        <f>D32*1.05</f>
        <v>255.3915</v>
      </c>
      <c r="E33" s="29"/>
      <c r="F33" s="5">
        <f>E33*D33</f>
        <v>0</v>
      </c>
      <c r="G33" s="18"/>
      <c r="H33" s="5"/>
      <c r="I33" s="5">
        <f t="shared" si="0"/>
        <v>0</v>
      </c>
      <c r="K33" s="21"/>
    </row>
    <row r="34" spans="1:9" ht="20.25" customHeight="1">
      <c r="A34" s="135"/>
      <c r="B34" s="36" t="s">
        <v>195</v>
      </c>
      <c r="C34" s="135" t="s">
        <v>21</v>
      </c>
      <c r="D34" s="37">
        <f>12079.38/1000*1.05</f>
        <v>12.683349</v>
      </c>
      <c r="E34" s="29"/>
      <c r="F34" s="5">
        <f>E34*D34</f>
        <v>0</v>
      </c>
      <c r="G34" s="18"/>
      <c r="H34" s="5"/>
      <c r="I34" s="5">
        <f>F34+H34</f>
        <v>0</v>
      </c>
    </row>
    <row r="35" spans="1:9" ht="20.25" customHeight="1">
      <c r="A35" s="135"/>
      <c r="B35" s="36" t="s">
        <v>376</v>
      </c>
      <c r="C35" s="135" t="s">
        <v>21</v>
      </c>
      <c r="D35" s="37">
        <f>14440.78/1000*1.05</f>
        <v>15.162819</v>
      </c>
      <c r="E35" s="29"/>
      <c r="F35" s="5">
        <f>E35*D35</f>
        <v>0</v>
      </c>
      <c r="G35" s="18"/>
      <c r="H35" s="5"/>
      <c r="I35" s="5">
        <f>F35+H35</f>
        <v>0</v>
      </c>
    </row>
    <row r="36" spans="1:9" ht="20.25" customHeight="1">
      <c r="A36" s="135"/>
      <c r="B36" s="36" t="s">
        <v>377</v>
      </c>
      <c r="C36" s="135" t="s">
        <v>21</v>
      </c>
      <c r="D36" s="37">
        <f>33067.84/1000*1.05</f>
        <v>34.721232</v>
      </c>
      <c r="E36" s="29"/>
      <c r="F36" s="5">
        <f>E36*D36</f>
        <v>0</v>
      </c>
      <c r="G36" s="18"/>
      <c r="H36" s="5"/>
      <c r="I36" s="5">
        <f>F36+H36</f>
        <v>0</v>
      </c>
    </row>
    <row r="37" spans="1:9" ht="49.5" customHeight="1">
      <c r="A37" s="92"/>
      <c r="B37" s="36" t="s">
        <v>399</v>
      </c>
      <c r="C37" s="92" t="s">
        <v>5</v>
      </c>
      <c r="D37" s="3">
        <f>282*1.8*2.8/10*12</f>
        <v>1705.5359999999998</v>
      </c>
      <c r="E37" s="18"/>
      <c r="F37" s="5">
        <f>E37*D37</f>
        <v>0</v>
      </c>
      <c r="G37" s="18"/>
      <c r="H37" s="5"/>
      <c r="I37" s="5">
        <f t="shared" si="0"/>
        <v>0</v>
      </c>
    </row>
    <row r="38" spans="1:11" ht="33" customHeight="1">
      <c r="A38" s="146">
        <v>8</v>
      </c>
      <c r="B38" s="26" t="s">
        <v>226</v>
      </c>
      <c r="C38" s="92" t="s">
        <v>28</v>
      </c>
      <c r="D38" s="3">
        <v>205.99</v>
      </c>
      <c r="E38" s="18"/>
      <c r="F38" s="5"/>
      <c r="G38" s="18"/>
      <c r="H38" s="5">
        <f>G38*D38</f>
        <v>0</v>
      </c>
      <c r="I38" s="5">
        <f t="shared" si="0"/>
        <v>0</v>
      </c>
      <c r="K38" s="21"/>
    </row>
    <row r="39" spans="1:11" ht="20.25" customHeight="1">
      <c r="A39" s="92"/>
      <c r="B39" s="36" t="s">
        <v>33</v>
      </c>
      <c r="C39" s="92" t="s">
        <v>12</v>
      </c>
      <c r="D39" s="3">
        <f>D38*1.05</f>
        <v>216.28950000000003</v>
      </c>
      <c r="E39" s="29"/>
      <c r="F39" s="5">
        <f aca="true" t="shared" si="2" ref="F39:F44">E39*D39</f>
        <v>0</v>
      </c>
      <c r="G39" s="18"/>
      <c r="H39" s="5"/>
      <c r="I39" s="5">
        <f t="shared" si="0"/>
        <v>0</v>
      </c>
      <c r="K39" s="21"/>
    </row>
    <row r="40" spans="1:9" ht="20.25" customHeight="1">
      <c r="A40" s="135"/>
      <c r="B40" s="36" t="s">
        <v>195</v>
      </c>
      <c r="C40" s="135" t="s">
        <v>21</v>
      </c>
      <c r="D40" s="37">
        <f>447.07/1000*1.05</f>
        <v>0.4694235</v>
      </c>
      <c r="E40" s="29"/>
      <c r="F40" s="5">
        <f t="shared" si="2"/>
        <v>0</v>
      </c>
      <c r="G40" s="18"/>
      <c r="H40" s="5"/>
      <c r="I40" s="5">
        <f>F40+H40</f>
        <v>0</v>
      </c>
    </row>
    <row r="41" spans="1:9" ht="20.25" customHeight="1">
      <c r="A41" s="135"/>
      <c r="B41" s="36" t="s">
        <v>227</v>
      </c>
      <c r="C41" s="135" t="s">
        <v>21</v>
      </c>
      <c r="D41" s="37">
        <f>11541.62/1000*1.05</f>
        <v>12.118701</v>
      </c>
      <c r="E41" s="29"/>
      <c r="F41" s="5">
        <f t="shared" si="2"/>
        <v>0</v>
      </c>
      <c r="G41" s="18"/>
      <c r="H41" s="5"/>
      <c r="I41" s="5">
        <f>F41+H41</f>
        <v>0</v>
      </c>
    </row>
    <row r="42" spans="1:9" ht="20.25" customHeight="1">
      <c r="A42" s="135"/>
      <c r="B42" s="36" t="s">
        <v>373</v>
      </c>
      <c r="C42" s="135" t="s">
        <v>21</v>
      </c>
      <c r="D42" s="37">
        <f>6416.2/1000*1.05</f>
        <v>6.737010000000001</v>
      </c>
      <c r="E42" s="29"/>
      <c r="F42" s="5">
        <f t="shared" si="2"/>
        <v>0</v>
      </c>
      <c r="G42" s="18"/>
      <c r="H42" s="5"/>
      <c r="I42" s="5">
        <f>F42+H42</f>
        <v>0</v>
      </c>
    </row>
    <row r="43" spans="1:9" ht="20.25" customHeight="1">
      <c r="A43" s="135"/>
      <c r="B43" s="36" t="s">
        <v>374</v>
      </c>
      <c r="C43" s="135" t="s">
        <v>21</v>
      </c>
      <c r="D43" s="37">
        <f>16644.78/1000*1.05</f>
        <v>17.477019</v>
      </c>
      <c r="E43" s="29"/>
      <c r="F43" s="5">
        <f t="shared" si="2"/>
        <v>0</v>
      </c>
      <c r="G43" s="18"/>
      <c r="H43" s="5"/>
      <c r="I43" s="5">
        <f>F43+H43</f>
        <v>0</v>
      </c>
    </row>
    <row r="44" spans="1:9" ht="51" customHeight="1">
      <c r="A44" s="92"/>
      <c r="B44" s="36" t="s">
        <v>399</v>
      </c>
      <c r="C44" s="92" t="s">
        <v>5</v>
      </c>
      <c r="D44" s="3">
        <f>524/10*12</f>
        <v>628.8</v>
      </c>
      <c r="E44" s="18"/>
      <c r="F44" s="5">
        <f t="shared" si="2"/>
        <v>0</v>
      </c>
      <c r="G44" s="18"/>
      <c r="H44" s="5"/>
      <c r="I44" s="5">
        <f aca="true" t="shared" si="3" ref="I44:I50">F44+H44</f>
        <v>0</v>
      </c>
    </row>
    <row r="45" spans="1:9" ht="34.5" customHeight="1">
      <c r="A45" s="146">
        <v>9</v>
      </c>
      <c r="B45" s="26" t="s">
        <v>375</v>
      </c>
      <c r="C45" s="92" t="s">
        <v>5</v>
      </c>
      <c r="D45" s="3">
        <f>121.6*4.2</f>
        <v>510.71999999999997</v>
      </c>
      <c r="E45" s="18"/>
      <c r="F45" s="5"/>
      <c r="G45" s="18"/>
      <c r="H45" s="5">
        <f>G45*D45</f>
        <v>0</v>
      </c>
      <c r="I45" s="5">
        <f t="shared" si="3"/>
        <v>0</v>
      </c>
    </row>
    <row r="46" spans="1:9" ht="20.25" customHeight="1">
      <c r="A46" s="92"/>
      <c r="B46" s="36" t="s">
        <v>97</v>
      </c>
      <c r="C46" s="92" t="s">
        <v>5</v>
      </c>
      <c r="D46" s="3">
        <f>D45</f>
        <v>510.71999999999997</v>
      </c>
      <c r="E46" s="18"/>
      <c r="F46" s="5">
        <f>E46*D46</f>
        <v>0</v>
      </c>
      <c r="G46" s="18"/>
      <c r="H46" s="5"/>
      <c r="I46" s="5">
        <f t="shared" si="3"/>
        <v>0</v>
      </c>
    </row>
    <row r="47" spans="1:9" ht="20.25" customHeight="1">
      <c r="A47" s="92"/>
      <c r="B47" s="36" t="s">
        <v>98</v>
      </c>
      <c r="C47" s="92" t="s">
        <v>5</v>
      </c>
      <c r="D47" s="3">
        <f>D45*1.1*2</f>
        <v>1123.584</v>
      </c>
      <c r="E47" s="18"/>
      <c r="F47" s="5">
        <f>E47*D47</f>
        <v>0</v>
      </c>
      <c r="G47" s="18"/>
      <c r="H47" s="5"/>
      <c r="I47" s="5">
        <f t="shared" si="3"/>
        <v>0</v>
      </c>
    </row>
    <row r="48" spans="1:9" ht="20.25" customHeight="1">
      <c r="A48" s="92"/>
      <c r="B48" s="36" t="s">
        <v>99</v>
      </c>
      <c r="C48" s="92" t="s">
        <v>5</v>
      </c>
      <c r="D48" s="4">
        <f>D45</f>
        <v>510.71999999999997</v>
      </c>
      <c r="E48" s="18"/>
      <c r="F48" s="5">
        <f>E48*D48</f>
        <v>0</v>
      </c>
      <c r="G48" s="18"/>
      <c r="H48" s="5"/>
      <c r="I48" s="5">
        <f t="shared" si="3"/>
        <v>0</v>
      </c>
    </row>
    <row r="49" spans="1:9" ht="28.5" customHeight="1">
      <c r="A49" s="146">
        <v>10</v>
      </c>
      <c r="B49" s="26" t="s">
        <v>100</v>
      </c>
      <c r="C49" s="92" t="s">
        <v>12</v>
      </c>
      <c r="D49" s="3">
        <f>684</f>
        <v>684</v>
      </c>
      <c r="E49" s="29"/>
      <c r="F49" s="5"/>
      <c r="G49" s="18"/>
      <c r="H49" s="5">
        <f>G49*D49</f>
        <v>0</v>
      </c>
      <c r="I49" s="5">
        <f t="shared" si="3"/>
        <v>0</v>
      </c>
    </row>
    <row r="50" spans="1:11" ht="33" customHeight="1">
      <c r="A50" s="146">
        <v>11</v>
      </c>
      <c r="B50" s="26" t="s">
        <v>228</v>
      </c>
      <c r="C50" s="92" t="s">
        <v>28</v>
      </c>
      <c r="D50" s="3">
        <v>1176.48</v>
      </c>
      <c r="E50" s="18"/>
      <c r="F50" s="5"/>
      <c r="G50" s="18"/>
      <c r="H50" s="5">
        <f>G50*D50</f>
        <v>0</v>
      </c>
      <c r="I50" s="5">
        <f t="shared" si="3"/>
        <v>0</v>
      </c>
      <c r="K50" s="21"/>
    </row>
    <row r="51" spans="1:11" ht="20.25" customHeight="1">
      <c r="A51" s="92"/>
      <c r="B51" s="36" t="s">
        <v>33</v>
      </c>
      <c r="C51" s="92" t="s">
        <v>12</v>
      </c>
      <c r="D51" s="3">
        <f>D50*1.025</f>
        <v>1205.8919999999998</v>
      </c>
      <c r="E51" s="29"/>
      <c r="F51" s="5">
        <f>E51*D51</f>
        <v>0</v>
      </c>
      <c r="G51" s="18"/>
      <c r="H51" s="5"/>
      <c r="I51" s="5">
        <f aca="true" t="shared" si="4" ref="I51:I78">F51+H51</f>
        <v>0</v>
      </c>
      <c r="K51" s="21"/>
    </row>
    <row r="52" spans="1:9" ht="20.25" customHeight="1">
      <c r="A52" s="92"/>
      <c r="B52" s="36" t="s">
        <v>195</v>
      </c>
      <c r="C52" s="135" t="s">
        <v>21</v>
      </c>
      <c r="D52" s="37">
        <f>2005.97/1000*1.05</f>
        <v>2.1062685</v>
      </c>
      <c r="E52" s="29"/>
      <c r="F52" s="5">
        <f>E52*D52</f>
        <v>0</v>
      </c>
      <c r="G52" s="18"/>
      <c r="H52" s="5"/>
      <c r="I52" s="5">
        <f t="shared" si="4"/>
        <v>0</v>
      </c>
    </row>
    <row r="53" spans="1:9" ht="20.25" customHeight="1">
      <c r="A53" s="92"/>
      <c r="B53" s="36" t="s">
        <v>378</v>
      </c>
      <c r="C53" s="135" t="s">
        <v>21</v>
      </c>
      <c r="D53" s="37">
        <f>104691.93/1000*1.025</f>
        <v>107.30922824999999</v>
      </c>
      <c r="E53" s="29"/>
      <c r="F53" s="5">
        <f>E53*D53</f>
        <v>0</v>
      </c>
      <c r="G53" s="18"/>
      <c r="H53" s="5"/>
      <c r="I53" s="5">
        <f t="shared" si="4"/>
        <v>0</v>
      </c>
    </row>
    <row r="54" spans="1:9" ht="20.25" customHeight="1">
      <c r="A54" s="135"/>
      <c r="B54" s="36" t="s">
        <v>373</v>
      </c>
      <c r="C54" s="135" t="s">
        <v>21</v>
      </c>
      <c r="D54" s="37">
        <f>17764.67/1000*1.04</f>
        <v>18.4752568</v>
      </c>
      <c r="E54" s="29"/>
      <c r="F54" s="5">
        <f>E54*D54</f>
        <v>0</v>
      </c>
      <c r="G54" s="18"/>
      <c r="H54" s="5"/>
      <c r="I54" s="5">
        <f t="shared" si="4"/>
        <v>0</v>
      </c>
    </row>
    <row r="55" spans="1:9" ht="48" customHeight="1">
      <c r="A55" s="92"/>
      <c r="B55" s="36" t="s">
        <v>399</v>
      </c>
      <c r="C55" s="92" t="s">
        <v>5</v>
      </c>
      <c r="D55" s="3">
        <f>5870+568*2</f>
        <v>7006</v>
      </c>
      <c r="E55" s="18"/>
      <c r="F55" s="5">
        <f>E55*D55</f>
        <v>0</v>
      </c>
      <c r="G55" s="18"/>
      <c r="H55" s="5"/>
      <c r="I55" s="5">
        <f t="shared" si="4"/>
        <v>0</v>
      </c>
    </row>
    <row r="56" spans="1:11" ht="33" customHeight="1">
      <c r="A56" s="146">
        <v>12</v>
      </c>
      <c r="B56" s="26" t="s">
        <v>229</v>
      </c>
      <c r="C56" s="92" t="s">
        <v>28</v>
      </c>
      <c r="D56" s="3">
        <v>611.97</v>
      </c>
      <c r="E56" s="18"/>
      <c r="F56" s="5"/>
      <c r="G56" s="18"/>
      <c r="H56" s="5">
        <f>G56*D56</f>
        <v>0</v>
      </c>
      <c r="I56" s="5">
        <f t="shared" si="4"/>
        <v>0</v>
      </c>
      <c r="K56" s="21"/>
    </row>
    <row r="57" spans="1:11" ht="20.25" customHeight="1">
      <c r="A57" s="92"/>
      <c r="B57" s="36" t="s">
        <v>33</v>
      </c>
      <c r="C57" s="92" t="s">
        <v>12</v>
      </c>
      <c r="D57" s="3">
        <f>D56*1.05</f>
        <v>642.5685000000001</v>
      </c>
      <c r="E57" s="29"/>
      <c r="F57" s="5">
        <f>E57*D57</f>
        <v>0</v>
      </c>
      <c r="G57" s="18"/>
      <c r="H57" s="5"/>
      <c r="I57" s="5">
        <f t="shared" si="4"/>
        <v>0</v>
      </c>
      <c r="K57" s="21"/>
    </row>
    <row r="58" spans="1:9" ht="20.25" customHeight="1">
      <c r="A58" s="135"/>
      <c r="B58" s="36" t="s">
        <v>195</v>
      </c>
      <c r="C58" s="135" t="s">
        <v>21</v>
      </c>
      <c r="D58" s="37">
        <f>32698.85/1000*1.05</f>
        <v>34.3337925</v>
      </c>
      <c r="E58" s="29"/>
      <c r="F58" s="5">
        <f>E58*D58</f>
        <v>0</v>
      </c>
      <c r="G58" s="18"/>
      <c r="H58" s="5"/>
      <c r="I58" s="5">
        <f t="shared" si="4"/>
        <v>0</v>
      </c>
    </row>
    <row r="59" spans="1:9" ht="20.25" customHeight="1">
      <c r="A59" s="135"/>
      <c r="B59" s="36" t="s">
        <v>379</v>
      </c>
      <c r="C59" s="135" t="s">
        <v>21</v>
      </c>
      <c r="D59" s="37">
        <f>68792.91/1000*1.05</f>
        <v>72.2325555</v>
      </c>
      <c r="E59" s="29"/>
      <c r="F59" s="5">
        <f>E59*D59</f>
        <v>0</v>
      </c>
      <c r="G59" s="18"/>
      <c r="H59" s="5"/>
      <c r="I59" s="5">
        <f t="shared" si="4"/>
        <v>0</v>
      </c>
    </row>
    <row r="60" spans="1:9" ht="20.25" customHeight="1">
      <c r="A60" s="135"/>
      <c r="B60" s="36" t="s">
        <v>377</v>
      </c>
      <c r="C60" s="135" t="s">
        <v>21</v>
      </c>
      <c r="D60" s="37">
        <f>3623.66/1000*1.05</f>
        <v>3.804843</v>
      </c>
      <c r="E60" s="29"/>
      <c r="F60" s="5">
        <f>E60*D60</f>
        <v>0</v>
      </c>
      <c r="G60" s="18"/>
      <c r="H60" s="5"/>
      <c r="I60" s="5">
        <f t="shared" si="4"/>
        <v>0</v>
      </c>
    </row>
    <row r="61" spans="1:9" ht="51" customHeight="1">
      <c r="A61" s="92"/>
      <c r="B61" s="36" t="s">
        <v>399</v>
      </c>
      <c r="C61" s="92" t="s">
        <v>5</v>
      </c>
      <c r="D61" s="3">
        <f>72*8*2/10*12</f>
        <v>1382.4</v>
      </c>
      <c r="E61" s="18"/>
      <c r="F61" s="5">
        <f>E61*D61</f>
        <v>0</v>
      </c>
      <c r="G61" s="18"/>
      <c r="H61" s="5"/>
      <c r="I61" s="5">
        <f t="shared" si="4"/>
        <v>0</v>
      </c>
    </row>
    <row r="62" spans="1:11" ht="33" customHeight="1">
      <c r="A62" s="137">
        <v>13</v>
      </c>
      <c r="B62" s="26" t="s">
        <v>230</v>
      </c>
      <c r="C62" s="135" t="s">
        <v>28</v>
      </c>
      <c r="D62" s="4">
        <v>66.94</v>
      </c>
      <c r="E62" s="18"/>
      <c r="F62" s="5"/>
      <c r="G62" s="18"/>
      <c r="H62" s="5">
        <f>G62*D62</f>
        <v>0</v>
      </c>
      <c r="I62" s="5">
        <f aca="true" t="shared" si="5" ref="I62:I72">F62+H62</f>
        <v>0</v>
      </c>
      <c r="K62" s="21"/>
    </row>
    <row r="63" spans="1:11" ht="20.25" customHeight="1">
      <c r="A63" s="135"/>
      <c r="B63" s="36" t="s">
        <v>33</v>
      </c>
      <c r="C63" s="135" t="s">
        <v>12</v>
      </c>
      <c r="D63" s="4">
        <f>D62*1.05</f>
        <v>70.287</v>
      </c>
      <c r="E63" s="29"/>
      <c r="F63" s="5">
        <f>E63*D63</f>
        <v>0</v>
      </c>
      <c r="G63" s="18"/>
      <c r="H63" s="5"/>
      <c r="I63" s="5">
        <f t="shared" si="5"/>
        <v>0</v>
      </c>
      <c r="K63" s="21"/>
    </row>
    <row r="64" spans="1:9" ht="20.25" customHeight="1">
      <c r="A64" s="135"/>
      <c r="B64" s="36" t="s">
        <v>195</v>
      </c>
      <c r="C64" s="135" t="s">
        <v>21</v>
      </c>
      <c r="D64" s="37">
        <f>99.04/1000*1.05</f>
        <v>0.103992</v>
      </c>
      <c r="E64" s="29"/>
      <c r="F64" s="5">
        <f>E64*D64</f>
        <v>0</v>
      </c>
      <c r="G64" s="18"/>
      <c r="H64" s="5"/>
      <c r="I64" s="5">
        <f t="shared" si="5"/>
        <v>0</v>
      </c>
    </row>
    <row r="65" spans="1:9" ht="20.25" customHeight="1">
      <c r="A65" s="135"/>
      <c r="B65" s="36" t="s">
        <v>385</v>
      </c>
      <c r="C65" s="135" t="s">
        <v>21</v>
      </c>
      <c r="D65" s="37">
        <f>3942.25/1000*1.05</f>
        <v>4.1393625</v>
      </c>
      <c r="E65" s="29"/>
      <c r="F65" s="5">
        <f>E65*D65</f>
        <v>0</v>
      </c>
      <c r="G65" s="18"/>
      <c r="H65" s="5"/>
      <c r="I65" s="5">
        <f>F65+H65</f>
        <v>0</v>
      </c>
    </row>
    <row r="66" spans="1:9" ht="20.25" customHeight="1">
      <c r="A66" s="135"/>
      <c r="B66" s="36" t="s">
        <v>373</v>
      </c>
      <c r="C66" s="135" t="s">
        <v>21</v>
      </c>
      <c r="D66" s="37">
        <f>5692.43/1000*1.05</f>
        <v>5.9770515</v>
      </c>
      <c r="E66" s="29"/>
      <c r="F66" s="5">
        <f>E66*D66</f>
        <v>0</v>
      </c>
      <c r="G66" s="18"/>
      <c r="H66" s="5"/>
      <c r="I66" s="5">
        <f>F66+H66</f>
        <v>0</v>
      </c>
    </row>
    <row r="67" spans="1:9" ht="49.5" customHeight="1">
      <c r="A67" s="135"/>
      <c r="B67" s="36" t="s">
        <v>399</v>
      </c>
      <c r="C67" s="135" t="s">
        <v>5</v>
      </c>
      <c r="D67" s="3">
        <f>18*10*1.2*2</f>
        <v>432</v>
      </c>
      <c r="E67" s="18"/>
      <c r="F67" s="5">
        <f>E67*D67</f>
        <v>0</v>
      </c>
      <c r="G67" s="18"/>
      <c r="H67" s="5"/>
      <c r="I67" s="5">
        <f t="shared" si="5"/>
        <v>0</v>
      </c>
    </row>
    <row r="68" spans="1:11" ht="33" customHeight="1">
      <c r="A68" s="146">
        <v>14</v>
      </c>
      <c r="B68" s="26" t="s">
        <v>384</v>
      </c>
      <c r="C68" s="135" t="s">
        <v>28</v>
      </c>
      <c r="D68" s="4">
        <v>1.48</v>
      </c>
      <c r="E68" s="18"/>
      <c r="F68" s="5"/>
      <c r="G68" s="18"/>
      <c r="H68" s="5">
        <f>G68*D68</f>
        <v>0</v>
      </c>
      <c r="I68" s="5">
        <f t="shared" si="5"/>
        <v>0</v>
      </c>
      <c r="K68" s="21"/>
    </row>
    <row r="69" spans="1:11" ht="20.25" customHeight="1">
      <c r="A69" s="135"/>
      <c r="B69" s="36" t="s">
        <v>33</v>
      </c>
      <c r="C69" s="135" t="s">
        <v>12</v>
      </c>
      <c r="D69" s="4">
        <f>D68*1.05</f>
        <v>1.554</v>
      </c>
      <c r="E69" s="29"/>
      <c r="F69" s="5">
        <f>E69*D69</f>
        <v>0</v>
      </c>
      <c r="G69" s="18"/>
      <c r="H69" s="5"/>
      <c r="I69" s="5">
        <f t="shared" si="5"/>
        <v>0</v>
      </c>
      <c r="K69" s="21"/>
    </row>
    <row r="70" spans="1:9" ht="20.25" customHeight="1">
      <c r="A70" s="135"/>
      <c r="B70" s="36" t="s">
        <v>385</v>
      </c>
      <c r="C70" s="135" t="s">
        <v>21</v>
      </c>
      <c r="D70" s="37">
        <f>76.53/1000*1.05</f>
        <v>0.0803565</v>
      </c>
      <c r="E70" s="29"/>
      <c r="F70" s="5">
        <f>E70*D70</f>
        <v>0</v>
      </c>
      <c r="G70" s="18"/>
      <c r="H70" s="5"/>
      <c r="I70" s="5">
        <f t="shared" si="5"/>
        <v>0</v>
      </c>
    </row>
    <row r="71" spans="1:9" ht="20.25" customHeight="1">
      <c r="A71" s="135"/>
      <c r="B71" s="36" t="s">
        <v>373</v>
      </c>
      <c r="C71" s="135" t="s">
        <v>21</v>
      </c>
      <c r="D71" s="37">
        <f>70.63/1000*1.05</f>
        <v>0.0741615</v>
      </c>
      <c r="E71" s="29"/>
      <c r="F71" s="5">
        <f>E71*D71</f>
        <v>0</v>
      </c>
      <c r="G71" s="18"/>
      <c r="H71" s="5"/>
      <c r="I71" s="5">
        <f t="shared" si="5"/>
        <v>0</v>
      </c>
    </row>
    <row r="72" spans="1:9" ht="21" customHeight="1">
      <c r="A72" s="135"/>
      <c r="B72" s="36" t="s">
        <v>383</v>
      </c>
      <c r="C72" s="135" t="s">
        <v>5</v>
      </c>
      <c r="D72" s="3">
        <v>7.4</v>
      </c>
      <c r="E72" s="18"/>
      <c r="F72" s="5">
        <f>E72*D72</f>
        <v>0</v>
      </c>
      <c r="G72" s="18"/>
      <c r="H72" s="5"/>
      <c r="I72" s="5">
        <f t="shared" si="5"/>
        <v>0</v>
      </c>
    </row>
    <row r="73" spans="1:11" ht="33" customHeight="1">
      <c r="A73" s="146">
        <v>15</v>
      </c>
      <c r="B73" s="26" t="s">
        <v>382</v>
      </c>
      <c r="C73" s="92" t="s">
        <v>28</v>
      </c>
      <c r="D73" s="3">
        <v>33</v>
      </c>
      <c r="E73" s="18"/>
      <c r="F73" s="5"/>
      <c r="G73" s="18"/>
      <c r="H73" s="5">
        <f>G73*D73</f>
        <v>0</v>
      </c>
      <c r="I73" s="5">
        <f t="shared" si="4"/>
        <v>0</v>
      </c>
      <c r="K73" s="21"/>
    </row>
    <row r="74" spans="1:11" ht="21" customHeight="1">
      <c r="A74" s="92"/>
      <c r="B74" s="36" t="s">
        <v>33</v>
      </c>
      <c r="C74" s="92" t="s">
        <v>12</v>
      </c>
      <c r="D74" s="3">
        <f>D73*1.05</f>
        <v>34.65</v>
      </c>
      <c r="E74" s="29"/>
      <c r="F74" s="5">
        <f>E74*D74</f>
        <v>0</v>
      </c>
      <c r="G74" s="18"/>
      <c r="H74" s="5"/>
      <c r="I74" s="5">
        <f t="shared" si="4"/>
        <v>0</v>
      </c>
      <c r="K74" s="21"/>
    </row>
    <row r="75" spans="1:9" ht="21" customHeight="1">
      <c r="A75" s="135"/>
      <c r="B75" s="36" t="s">
        <v>195</v>
      </c>
      <c r="C75" s="135" t="s">
        <v>21</v>
      </c>
      <c r="D75" s="37">
        <f>110.48/1000*1.05</f>
        <v>0.11600400000000001</v>
      </c>
      <c r="E75" s="29"/>
      <c r="F75" s="5">
        <f>E75*D75</f>
        <v>0</v>
      </c>
      <c r="G75" s="18"/>
      <c r="H75" s="5"/>
      <c r="I75" s="5">
        <f>F75+H75</f>
        <v>0</v>
      </c>
    </row>
    <row r="76" spans="1:9" ht="21" customHeight="1">
      <c r="A76" s="135"/>
      <c r="B76" s="36" t="s">
        <v>373</v>
      </c>
      <c r="C76" s="135" t="s">
        <v>21</v>
      </c>
      <c r="D76" s="37">
        <f>60543.85/1000*1.05</f>
        <v>63.571042500000004</v>
      </c>
      <c r="E76" s="29"/>
      <c r="F76" s="5">
        <f>E76*D76</f>
        <v>0</v>
      </c>
      <c r="G76" s="18"/>
      <c r="H76" s="5"/>
      <c r="I76" s="5">
        <f>F76+H76</f>
        <v>0</v>
      </c>
    </row>
    <row r="77" spans="1:11" ht="21" customHeight="1">
      <c r="A77" s="92"/>
      <c r="B77" s="36" t="s">
        <v>383</v>
      </c>
      <c r="C77" s="92" t="s">
        <v>5</v>
      </c>
      <c r="D77" s="3">
        <v>157.4</v>
      </c>
      <c r="E77" s="18"/>
      <c r="F77" s="5">
        <f>E77*D77</f>
        <v>0</v>
      </c>
      <c r="G77" s="18"/>
      <c r="H77" s="5"/>
      <c r="I77" s="5">
        <f t="shared" si="4"/>
        <v>0</v>
      </c>
      <c r="K77" s="44"/>
    </row>
    <row r="78" spans="1:11" ht="34.5" customHeight="1">
      <c r="A78" s="139">
        <v>16</v>
      </c>
      <c r="B78" s="26" t="s">
        <v>43</v>
      </c>
      <c r="C78" s="139" t="s">
        <v>44</v>
      </c>
      <c r="D78" s="3">
        <v>28</v>
      </c>
      <c r="E78" s="18"/>
      <c r="F78" s="5"/>
      <c r="G78" s="18"/>
      <c r="H78" s="5">
        <f>G78*D78</f>
        <v>0</v>
      </c>
      <c r="I78" s="5">
        <f t="shared" si="4"/>
        <v>0</v>
      </c>
      <c r="K78" s="141"/>
    </row>
    <row r="79" spans="1:9" ht="7.5" customHeight="1">
      <c r="A79" s="60"/>
      <c r="B79" s="26"/>
      <c r="C79" s="60"/>
      <c r="D79" s="4"/>
      <c r="E79" s="18"/>
      <c r="F79" s="5"/>
      <c r="G79" s="18"/>
      <c r="H79" s="5"/>
      <c r="I79" s="5"/>
    </row>
    <row r="80" spans="1:9" ht="27" customHeight="1">
      <c r="A80" s="60"/>
      <c r="B80" s="27" t="s">
        <v>15</v>
      </c>
      <c r="C80" s="60"/>
      <c r="D80" s="3"/>
      <c r="E80" s="4"/>
      <c r="F80" s="5">
        <f>SUM(F10:F79)</f>
        <v>0</v>
      </c>
      <c r="G80" s="4"/>
      <c r="H80" s="5">
        <f>SUM(H10:H79)</f>
        <v>0</v>
      </c>
      <c r="I80" s="5">
        <f>F80+H80</f>
        <v>0</v>
      </c>
    </row>
    <row r="81" spans="1:9" ht="24.75" customHeight="1">
      <c r="A81" s="153" t="s">
        <v>39</v>
      </c>
      <c r="B81" s="154"/>
      <c r="C81" s="154"/>
      <c r="D81" s="154"/>
      <c r="E81" s="154"/>
      <c r="F81" s="154"/>
      <c r="G81" s="154"/>
      <c r="H81" s="154"/>
      <c r="I81" s="155"/>
    </row>
    <row r="82" spans="1:11" ht="27.75" customHeight="1">
      <c r="A82" s="139">
        <v>1</v>
      </c>
      <c r="B82" s="39" t="s">
        <v>397</v>
      </c>
      <c r="C82" s="38" t="s">
        <v>5</v>
      </c>
      <c r="D82" s="42">
        <v>4758.4</v>
      </c>
      <c r="E82" s="40"/>
      <c r="F82" s="41"/>
      <c r="G82" s="40"/>
      <c r="H82" s="64">
        <f>G82*D82</f>
        <v>0</v>
      </c>
      <c r="I82" s="64">
        <f>F82+H82</f>
        <v>0</v>
      </c>
      <c r="K82" s="142"/>
    </row>
    <row r="83" spans="1:9" ht="22.5" customHeight="1">
      <c r="A83" s="122"/>
      <c r="B83" s="39" t="s">
        <v>398</v>
      </c>
      <c r="C83" s="38" t="s">
        <v>40</v>
      </c>
      <c r="D83" s="43">
        <f>D82*12.5*1.02</f>
        <v>60669.59999999999</v>
      </c>
      <c r="E83" s="40"/>
      <c r="F83" s="64">
        <f>E83*D83</f>
        <v>0</v>
      </c>
      <c r="G83" s="42"/>
      <c r="H83" s="41"/>
      <c r="I83" s="41">
        <f>F83+H83</f>
        <v>0</v>
      </c>
    </row>
    <row r="84" spans="1:9" ht="22.5" customHeight="1">
      <c r="A84" s="122"/>
      <c r="B84" s="39" t="s">
        <v>87</v>
      </c>
      <c r="C84" s="38" t="s">
        <v>12</v>
      </c>
      <c r="D84" s="42">
        <f>D83*0.6*0.2*0.03</f>
        <v>218.41055999999995</v>
      </c>
      <c r="E84" s="42"/>
      <c r="F84" s="41">
        <f>E84*D84</f>
        <v>0</v>
      </c>
      <c r="G84" s="42"/>
      <c r="H84" s="41"/>
      <c r="I84" s="41">
        <f>F84+H84</f>
        <v>0</v>
      </c>
    </row>
    <row r="85" spans="1:9" ht="22.5" customHeight="1">
      <c r="A85" s="122"/>
      <c r="B85" s="39" t="s">
        <v>41</v>
      </c>
      <c r="C85" s="38" t="s">
        <v>21</v>
      </c>
      <c r="D85" s="40">
        <f>D84*0.35</f>
        <v>76.44369599999997</v>
      </c>
      <c r="E85" s="42"/>
      <c r="F85" s="41">
        <f>E85*D85</f>
        <v>0</v>
      </c>
      <c r="G85" s="42"/>
      <c r="H85" s="41"/>
      <c r="I85" s="41">
        <f>F85+H85</f>
        <v>0</v>
      </c>
    </row>
    <row r="86" spans="1:9" ht="22.5" customHeight="1">
      <c r="A86" s="122"/>
      <c r="B86" s="36" t="s">
        <v>197</v>
      </c>
      <c r="C86" s="122" t="s">
        <v>21</v>
      </c>
      <c r="D86" s="37">
        <v>0.48</v>
      </c>
      <c r="E86" s="95"/>
      <c r="F86" s="5">
        <f>E86*D86</f>
        <v>0</v>
      </c>
      <c r="G86" s="18"/>
      <c r="H86" s="5"/>
      <c r="I86" s="5">
        <f>F86+H86</f>
        <v>0</v>
      </c>
    </row>
    <row r="87" spans="1:9" ht="27.75" customHeight="1">
      <c r="A87" s="76">
        <v>2</v>
      </c>
      <c r="B87" s="39" t="s">
        <v>198</v>
      </c>
      <c r="C87" s="38" t="s">
        <v>5</v>
      </c>
      <c r="D87" s="42">
        <v>58</v>
      </c>
      <c r="E87" s="40"/>
      <c r="F87" s="41"/>
      <c r="G87" s="40"/>
      <c r="H87" s="41">
        <f>G87*D87</f>
        <v>0</v>
      </c>
      <c r="I87" s="64">
        <f aca="true" t="shared" si="6" ref="I87:I101">F87+H87</f>
        <v>0</v>
      </c>
    </row>
    <row r="88" spans="1:9" ht="22.5" customHeight="1">
      <c r="A88" s="76"/>
      <c r="B88" s="39" t="s">
        <v>196</v>
      </c>
      <c r="C88" s="38" t="s">
        <v>40</v>
      </c>
      <c r="D88" s="43">
        <f>D87*12.5*1.02</f>
        <v>739.5</v>
      </c>
      <c r="E88" s="40"/>
      <c r="F88" s="41">
        <f>E88*D88</f>
        <v>0</v>
      </c>
      <c r="G88" s="42"/>
      <c r="H88" s="41"/>
      <c r="I88" s="41">
        <f t="shared" si="6"/>
        <v>0</v>
      </c>
    </row>
    <row r="89" spans="1:9" ht="22.5" customHeight="1">
      <c r="A89" s="76"/>
      <c r="B89" s="39" t="s">
        <v>87</v>
      </c>
      <c r="C89" s="38" t="s">
        <v>12</v>
      </c>
      <c r="D89" s="42">
        <f>D88*0.6*0.2*0.03</f>
        <v>2.6622000000000003</v>
      </c>
      <c r="E89" s="42"/>
      <c r="F89" s="41">
        <f>E89*D89</f>
        <v>0</v>
      </c>
      <c r="G89" s="42"/>
      <c r="H89" s="41"/>
      <c r="I89" s="41">
        <f t="shared" si="6"/>
        <v>0</v>
      </c>
    </row>
    <row r="90" spans="1:9" ht="22.5" customHeight="1">
      <c r="A90" s="76"/>
      <c r="B90" s="39" t="s">
        <v>41</v>
      </c>
      <c r="C90" s="38" t="s">
        <v>21</v>
      </c>
      <c r="D90" s="40">
        <f>D89*0.35</f>
        <v>0.9317700000000001</v>
      </c>
      <c r="E90" s="42"/>
      <c r="F90" s="41">
        <f>E90*D90</f>
        <v>0</v>
      </c>
      <c r="G90" s="42"/>
      <c r="H90" s="41"/>
      <c r="I90" s="41">
        <f t="shared" si="6"/>
        <v>0</v>
      </c>
    </row>
    <row r="91" spans="1:9" ht="22.5" customHeight="1">
      <c r="A91" s="76"/>
      <c r="B91" s="36" t="s">
        <v>197</v>
      </c>
      <c r="C91" s="76" t="s">
        <v>21</v>
      </c>
      <c r="D91" s="37">
        <v>0.061</v>
      </c>
      <c r="E91" s="95"/>
      <c r="F91" s="5">
        <f>E91*D91</f>
        <v>0</v>
      </c>
      <c r="G91" s="18"/>
      <c r="H91" s="5"/>
      <c r="I91" s="5">
        <f t="shared" si="6"/>
        <v>0</v>
      </c>
    </row>
    <row r="92" spans="1:12" ht="34.5" customHeight="1">
      <c r="A92" s="93">
        <v>3</v>
      </c>
      <c r="B92" s="39" t="s">
        <v>231</v>
      </c>
      <c r="C92" s="38" t="s">
        <v>5</v>
      </c>
      <c r="D92" s="42">
        <f>2334/9*11</f>
        <v>2852.6666666666665</v>
      </c>
      <c r="E92" s="40"/>
      <c r="F92" s="41"/>
      <c r="G92" s="40"/>
      <c r="H92" s="41">
        <f>G92*D92</f>
        <v>0</v>
      </c>
      <c r="I92" s="64">
        <f aca="true" t="shared" si="7" ref="I92:I97">F92+H92</f>
        <v>0</v>
      </c>
      <c r="L92" s="44"/>
    </row>
    <row r="93" spans="1:9" ht="22.5" customHeight="1">
      <c r="A93" s="93"/>
      <c r="B93" s="39" t="s">
        <v>232</v>
      </c>
      <c r="C93" s="38" t="s">
        <v>40</v>
      </c>
      <c r="D93" s="43">
        <f>D92*12.5*1.02</f>
        <v>36371.49999999999</v>
      </c>
      <c r="E93" s="40"/>
      <c r="F93" s="41">
        <f>E93*D93</f>
        <v>0</v>
      </c>
      <c r="G93" s="42"/>
      <c r="H93" s="41"/>
      <c r="I93" s="41">
        <f t="shared" si="7"/>
        <v>0</v>
      </c>
    </row>
    <row r="94" spans="1:9" ht="22.5" customHeight="1">
      <c r="A94" s="93"/>
      <c r="B94" s="39" t="s">
        <v>87</v>
      </c>
      <c r="C94" s="38" t="s">
        <v>12</v>
      </c>
      <c r="D94" s="42">
        <f>D93*0.6*0.1*0.03</f>
        <v>65.46869999999998</v>
      </c>
      <c r="E94" s="42"/>
      <c r="F94" s="41">
        <f>E94*D94</f>
        <v>0</v>
      </c>
      <c r="G94" s="42"/>
      <c r="H94" s="41"/>
      <c r="I94" s="41">
        <f t="shared" si="7"/>
        <v>0</v>
      </c>
    </row>
    <row r="95" spans="1:9" ht="22.5" customHeight="1">
      <c r="A95" s="93"/>
      <c r="B95" s="39" t="s">
        <v>41</v>
      </c>
      <c r="C95" s="38" t="s">
        <v>21</v>
      </c>
      <c r="D95" s="40">
        <f>D94*0.35</f>
        <v>22.914044999999994</v>
      </c>
      <c r="E95" s="42"/>
      <c r="F95" s="41">
        <f>E95*D95</f>
        <v>0</v>
      </c>
      <c r="G95" s="42"/>
      <c r="H95" s="41"/>
      <c r="I95" s="41">
        <f t="shared" si="7"/>
        <v>0</v>
      </c>
    </row>
    <row r="96" spans="1:9" ht="22.5" customHeight="1">
      <c r="A96" s="93"/>
      <c r="B96" s="36" t="s">
        <v>197</v>
      </c>
      <c r="C96" s="93" t="s">
        <v>21</v>
      </c>
      <c r="D96" s="94">
        <v>1.14</v>
      </c>
      <c r="E96" s="95"/>
      <c r="F96" s="5">
        <f>E96*D96</f>
        <v>0</v>
      </c>
      <c r="G96" s="18"/>
      <c r="H96" s="5"/>
      <c r="I96" s="5">
        <f t="shared" si="7"/>
        <v>0</v>
      </c>
    </row>
    <row r="97" spans="1:9" ht="22.5" customHeight="1">
      <c r="A97" s="93"/>
      <c r="B97" s="36" t="s">
        <v>233</v>
      </c>
      <c r="C97" s="93" t="s">
        <v>21</v>
      </c>
      <c r="D97" s="94">
        <v>0.32</v>
      </c>
      <c r="E97" s="29"/>
      <c r="F97" s="5">
        <f>E97*D97</f>
        <v>0</v>
      </c>
      <c r="G97" s="18"/>
      <c r="H97" s="5"/>
      <c r="I97" s="5">
        <f t="shared" si="7"/>
        <v>0</v>
      </c>
    </row>
    <row r="98" spans="1:9" ht="31.5" customHeight="1">
      <c r="A98" s="76">
        <v>4</v>
      </c>
      <c r="B98" s="39" t="s">
        <v>209</v>
      </c>
      <c r="C98" s="38" t="s">
        <v>5</v>
      </c>
      <c r="D98" s="42">
        <f>3428+758</f>
        <v>4186</v>
      </c>
      <c r="E98" s="40"/>
      <c r="F98" s="41"/>
      <c r="G98" s="40"/>
      <c r="H98" s="41">
        <f>G98*D98</f>
        <v>0</v>
      </c>
      <c r="I98" s="64">
        <f t="shared" si="6"/>
        <v>0</v>
      </c>
    </row>
    <row r="99" spans="1:9" ht="22.5" customHeight="1">
      <c r="A99" s="76"/>
      <c r="B99" s="39" t="s">
        <v>196</v>
      </c>
      <c r="C99" s="38" t="s">
        <v>40</v>
      </c>
      <c r="D99" s="43">
        <f>D98*12.5*1.02</f>
        <v>53371.5</v>
      </c>
      <c r="E99" s="40"/>
      <c r="F99" s="41">
        <f>E99*D99</f>
        <v>0</v>
      </c>
      <c r="G99" s="42"/>
      <c r="H99" s="41"/>
      <c r="I99" s="41">
        <f t="shared" si="6"/>
        <v>0</v>
      </c>
    </row>
    <row r="100" spans="1:9" ht="22.5" customHeight="1">
      <c r="A100" s="76"/>
      <c r="B100" s="39" t="s">
        <v>87</v>
      </c>
      <c r="C100" s="38" t="s">
        <v>12</v>
      </c>
      <c r="D100" s="42">
        <f>D99*0.6*0.2*0.03</f>
        <v>192.13739999999999</v>
      </c>
      <c r="E100" s="42"/>
      <c r="F100" s="41">
        <f>E100*D100</f>
        <v>0</v>
      </c>
      <c r="G100" s="42"/>
      <c r="H100" s="41"/>
      <c r="I100" s="41">
        <f t="shared" si="6"/>
        <v>0</v>
      </c>
    </row>
    <row r="101" spans="1:9" ht="22.5" customHeight="1">
      <c r="A101" s="76"/>
      <c r="B101" s="39" t="s">
        <v>41</v>
      </c>
      <c r="C101" s="38" t="s">
        <v>21</v>
      </c>
      <c r="D101" s="40">
        <f>D100*0.35</f>
        <v>67.24808999999999</v>
      </c>
      <c r="E101" s="42"/>
      <c r="F101" s="41">
        <f>E101*D101</f>
        <v>0</v>
      </c>
      <c r="G101" s="42"/>
      <c r="H101" s="41"/>
      <c r="I101" s="41">
        <f t="shared" si="6"/>
        <v>0</v>
      </c>
    </row>
    <row r="102" spans="1:9" ht="22.5" customHeight="1">
      <c r="A102" s="93"/>
      <c r="B102" s="36" t="s">
        <v>197</v>
      </c>
      <c r="C102" s="93" t="s">
        <v>21</v>
      </c>
      <c r="D102" s="37">
        <v>0.158</v>
      </c>
      <c r="E102" s="95"/>
      <c r="F102" s="5">
        <f>E102*D102</f>
        <v>0</v>
      </c>
      <c r="G102" s="18"/>
      <c r="H102" s="5"/>
      <c r="I102" s="5">
        <f>F102+H102</f>
        <v>0</v>
      </c>
    </row>
    <row r="103" spans="1:9" ht="22.5" customHeight="1">
      <c r="A103" s="93"/>
      <c r="B103" s="36" t="s">
        <v>233</v>
      </c>
      <c r="C103" s="93" t="s">
        <v>21</v>
      </c>
      <c r="D103" s="94">
        <v>0.184</v>
      </c>
      <c r="E103" s="29"/>
      <c r="F103" s="5">
        <f>E103*D103</f>
        <v>0</v>
      </c>
      <c r="G103" s="18"/>
      <c r="H103" s="5"/>
      <c r="I103" s="5">
        <f>F103+H103</f>
        <v>0</v>
      </c>
    </row>
    <row r="104" spans="1:9" ht="3.75" customHeight="1">
      <c r="A104" s="93"/>
      <c r="B104" s="26"/>
      <c r="C104" s="93"/>
      <c r="D104" s="4"/>
      <c r="E104" s="17"/>
      <c r="F104" s="5"/>
      <c r="G104" s="18"/>
      <c r="H104" s="5"/>
      <c r="I104" s="5"/>
    </row>
    <row r="105" spans="1:9" ht="143.25" customHeight="1">
      <c r="A105" s="135">
        <v>5</v>
      </c>
      <c r="B105" s="36" t="s">
        <v>366</v>
      </c>
      <c r="C105" s="135" t="s">
        <v>367</v>
      </c>
      <c r="D105" s="42">
        <v>12</v>
      </c>
      <c r="E105" s="40"/>
      <c r="F105" s="41"/>
      <c r="G105" s="40"/>
      <c r="H105" s="41">
        <f>G105*D105</f>
        <v>0</v>
      </c>
      <c r="I105" s="64">
        <f>F105+H105</f>
        <v>0</v>
      </c>
    </row>
    <row r="106" spans="1:9" ht="33.75" customHeight="1">
      <c r="A106" s="135"/>
      <c r="B106" s="36" t="s">
        <v>369</v>
      </c>
      <c r="C106" s="135" t="s">
        <v>6</v>
      </c>
      <c r="D106" s="42">
        <f>((4+2.8)*2+2.8+2+23.9+36.8)*2+12*1.3</f>
        <v>173.79999999999998</v>
      </c>
      <c r="E106" s="40"/>
      <c r="F106" s="41">
        <f>E106*D106</f>
        <v>0</v>
      </c>
      <c r="G106" s="42"/>
      <c r="H106" s="41"/>
      <c r="I106" s="41">
        <f>F106+H106</f>
        <v>0</v>
      </c>
    </row>
    <row r="107" spans="1:9" ht="21" customHeight="1">
      <c r="A107" s="135"/>
      <c r="B107" s="36" t="s">
        <v>368</v>
      </c>
      <c r="C107" s="135" t="s">
        <v>5</v>
      </c>
      <c r="D107" s="42">
        <f>D106*3.6</f>
        <v>625.68</v>
      </c>
      <c r="E107" s="40"/>
      <c r="F107" s="41">
        <f>E107*D107</f>
        <v>0</v>
      </c>
      <c r="G107" s="42"/>
      <c r="H107" s="41"/>
      <c r="I107" s="41">
        <f>F107+H107</f>
        <v>0</v>
      </c>
    </row>
    <row r="108" spans="1:11" ht="63.75" customHeight="1">
      <c r="A108" s="139">
        <v>6</v>
      </c>
      <c r="B108" s="36" t="s">
        <v>348</v>
      </c>
      <c r="C108" s="139" t="s">
        <v>238</v>
      </c>
      <c r="D108" s="42">
        <f>4*12*30</f>
        <v>1440</v>
      </c>
      <c r="E108" s="40"/>
      <c r="F108" s="41"/>
      <c r="G108" s="40"/>
      <c r="H108" s="41">
        <f>G108*D108</f>
        <v>0</v>
      </c>
      <c r="I108" s="64">
        <f>F108+H108</f>
        <v>0</v>
      </c>
      <c r="K108" s="142"/>
    </row>
    <row r="109" spans="1:9" ht="3.75" customHeight="1">
      <c r="A109" s="60"/>
      <c r="B109" s="26"/>
      <c r="C109" s="60"/>
      <c r="D109" s="4"/>
      <c r="E109" s="17"/>
      <c r="F109" s="5"/>
      <c r="G109" s="18"/>
      <c r="H109" s="5"/>
      <c r="I109" s="5"/>
    </row>
    <row r="110" spans="1:9" ht="27.75" customHeight="1">
      <c r="A110" s="60"/>
      <c r="B110" s="27" t="s">
        <v>16</v>
      </c>
      <c r="C110" s="60"/>
      <c r="D110" s="3"/>
      <c r="E110" s="4"/>
      <c r="F110" s="5">
        <f>SUM(F82:F109)</f>
        <v>0</v>
      </c>
      <c r="G110" s="4"/>
      <c r="H110" s="5">
        <f>SUM(H82:H109)</f>
        <v>0</v>
      </c>
      <c r="I110" s="5">
        <f>F110+H110</f>
        <v>0</v>
      </c>
    </row>
    <row r="111" spans="1:9" ht="5.25" customHeight="1">
      <c r="A111" s="163"/>
      <c r="B111" s="164"/>
      <c r="C111" s="164"/>
      <c r="D111" s="164"/>
      <c r="E111" s="164"/>
      <c r="F111" s="164"/>
      <c r="G111" s="164"/>
      <c r="H111" s="164"/>
      <c r="I111" s="165"/>
    </row>
    <row r="112" spans="1:9" ht="29.25" customHeight="1">
      <c r="A112" s="60"/>
      <c r="B112" s="27" t="s">
        <v>49</v>
      </c>
      <c r="C112" s="60"/>
      <c r="D112" s="3"/>
      <c r="E112" s="4"/>
      <c r="F112" s="5">
        <f>F80+F110</f>
        <v>0</v>
      </c>
      <c r="G112" s="4"/>
      <c r="H112" s="5">
        <f>H80+H110</f>
        <v>0</v>
      </c>
      <c r="I112" s="5">
        <f>F112+H112</f>
        <v>0</v>
      </c>
    </row>
    <row r="113" spans="1:9" ht="33.75" customHeight="1">
      <c r="A113" s="92"/>
      <c r="B113" s="28" t="s">
        <v>147</v>
      </c>
      <c r="C113" s="22">
        <v>0</v>
      </c>
      <c r="D113" s="3"/>
      <c r="E113" s="4"/>
      <c r="F113" s="5"/>
      <c r="G113" s="4"/>
      <c r="H113" s="23"/>
      <c r="I113" s="5">
        <f>F112*C113</f>
        <v>0</v>
      </c>
    </row>
    <row r="114" spans="1:9" ht="25.5" customHeight="1">
      <c r="A114" s="92"/>
      <c r="B114" s="28" t="s">
        <v>13</v>
      </c>
      <c r="C114" s="92"/>
      <c r="D114" s="3"/>
      <c r="E114" s="4"/>
      <c r="F114" s="5"/>
      <c r="G114" s="4"/>
      <c r="H114" s="23"/>
      <c r="I114" s="5">
        <f>I112+I113</f>
        <v>0</v>
      </c>
    </row>
    <row r="115" spans="1:9" ht="25.5" customHeight="1">
      <c r="A115" s="92"/>
      <c r="B115" s="28" t="s">
        <v>146</v>
      </c>
      <c r="C115" s="22">
        <v>0</v>
      </c>
      <c r="D115" s="3"/>
      <c r="E115" s="4"/>
      <c r="F115" s="5"/>
      <c r="G115" s="4"/>
      <c r="H115" s="23"/>
      <c r="I115" s="5">
        <f>I114*C115</f>
        <v>0</v>
      </c>
    </row>
    <row r="116" spans="1:9" ht="25.5" customHeight="1">
      <c r="A116" s="92"/>
      <c r="B116" s="28" t="s">
        <v>13</v>
      </c>
      <c r="C116" s="92"/>
      <c r="D116" s="3"/>
      <c r="E116" s="4"/>
      <c r="F116" s="5"/>
      <c r="G116" s="4"/>
      <c r="H116" s="23"/>
      <c r="I116" s="5">
        <f>I114+I115</f>
        <v>0</v>
      </c>
    </row>
    <row r="117" spans="1:9" ht="25.5" customHeight="1">
      <c r="A117" s="92"/>
      <c r="B117" s="28" t="s">
        <v>93</v>
      </c>
      <c r="C117" s="24">
        <v>0</v>
      </c>
      <c r="D117" s="3"/>
      <c r="E117" s="4"/>
      <c r="F117" s="5"/>
      <c r="G117" s="4"/>
      <c r="H117" s="23"/>
      <c r="I117" s="5">
        <f>I116*C117</f>
        <v>0</v>
      </c>
    </row>
    <row r="118" spans="1:9" ht="25.5" customHeight="1">
      <c r="A118" s="92"/>
      <c r="B118" s="28" t="s">
        <v>2</v>
      </c>
      <c r="C118" s="92"/>
      <c r="D118" s="3"/>
      <c r="E118" s="4"/>
      <c r="F118" s="5"/>
      <c r="G118" s="4"/>
      <c r="H118" s="23"/>
      <c r="I118" s="5">
        <f>I117+I116</f>
        <v>0</v>
      </c>
    </row>
    <row r="119" spans="1:9" ht="25.5" customHeight="1">
      <c r="A119" s="92"/>
      <c r="B119" s="28" t="s">
        <v>94</v>
      </c>
      <c r="C119" s="24">
        <v>0</v>
      </c>
      <c r="D119" s="3"/>
      <c r="E119" s="4"/>
      <c r="F119" s="5"/>
      <c r="G119" s="4"/>
      <c r="H119" s="23"/>
      <c r="I119" s="5">
        <f>I118*C119</f>
        <v>0</v>
      </c>
    </row>
    <row r="120" spans="1:9" ht="25.5" customHeight="1">
      <c r="A120" s="92"/>
      <c r="B120" s="28" t="s">
        <v>2</v>
      </c>
      <c r="C120" s="92"/>
      <c r="D120" s="3"/>
      <c r="E120" s="4"/>
      <c r="F120" s="5"/>
      <c r="G120" s="4"/>
      <c r="H120" s="23"/>
      <c r="I120" s="5">
        <f>I119+I118</f>
        <v>0</v>
      </c>
    </row>
    <row r="121" spans="1:9" ht="25.5" customHeight="1">
      <c r="A121" s="92"/>
      <c r="B121" s="28" t="s">
        <v>95</v>
      </c>
      <c r="C121" s="24">
        <v>0.18</v>
      </c>
      <c r="D121" s="3"/>
      <c r="E121" s="4"/>
      <c r="F121" s="5"/>
      <c r="G121" s="4"/>
      <c r="H121" s="23"/>
      <c r="I121" s="5">
        <f>I120*C121</f>
        <v>0</v>
      </c>
    </row>
    <row r="122" spans="1:12" ht="25.5" customHeight="1">
      <c r="A122" s="92"/>
      <c r="B122" s="28" t="s">
        <v>35</v>
      </c>
      <c r="C122" s="92"/>
      <c r="D122" s="3"/>
      <c r="E122" s="4"/>
      <c r="F122" s="5"/>
      <c r="G122" s="4"/>
      <c r="H122" s="23"/>
      <c r="I122" s="5">
        <f>I121+I120</f>
        <v>0</v>
      </c>
      <c r="L122" s="140"/>
    </row>
    <row r="123" spans="1:9" ht="15">
      <c r="A123" s="19"/>
      <c r="B123" s="20"/>
      <c r="C123" s="16"/>
      <c r="D123" s="21"/>
      <c r="E123" s="35"/>
      <c r="F123" s="21"/>
      <c r="G123" s="35"/>
      <c r="H123" s="21"/>
      <c r="I123" s="21"/>
    </row>
    <row r="124" spans="1:9" ht="14.25">
      <c r="A124" s="19"/>
      <c r="B124" s="16"/>
      <c r="C124" s="16"/>
      <c r="D124" s="21"/>
      <c r="E124" s="35"/>
      <c r="F124" s="21"/>
      <c r="G124" s="35"/>
      <c r="H124" s="21"/>
      <c r="I124" s="21"/>
    </row>
    <row r="125" spans="1:9" ht="14.25">
      <c r="A125" s="19"/>
      <c r="B125" s="16"/>
      <c r="C125" s="16"/>
      <c r="D125" s="21"/>
      <c r="E125" s="35"/>
      <c r="F125" s="21"/>
      <c r="G125" s="35"/>
      <c r="H125" s="21"/>
      <c r="I125" s="21"/>
    </row>
  </sheetData>
  <sheetProtection/>
  <mergeCells count="15">
    <mergeCell ref="A3:I3"/>
    <mergeCell ref="A81:I81"/>
    <mergeCell ref="A9:I9"/>
    <mergeCell ref="D6:D7"/>
    <mergeCell ref="A4:I4"/>
    <mergeCell ref="A1:I1"/>
    <mergeCell ref="A2:I2"/>
    <mergeCell ref="A5:I5"/>
    <mergeCell ref="A6:A7"/>
    <mergeCell ref="B6:B7"/>
    <mergeCell ref="A111:I111"/>
    <mergeCell ref="C6:C7"/>
    <mergeCell ref="G6:H6"/>
    <mergeCell ref="I6:I7"/>
    <mergeCell ref="E6:F6"/>
  </mergeCells>
  <printOptions/>
  <pageMargins left="0.34" right="0.25" top="0.25" bottom="0.25" header="0.3" footer="0.3"/>
  <pageSetup horizontalDpi="300" verticalDpi="300" orientation="portrait" paperSize="9" r:id="rId1"/>
  <ignoredErrors>
    <ignoredError sqref="I115 I118 I1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3"/>
  <sheetViews>
    <sheetView zoomScaleSheetLayoutView="100" zoomScalePageLayoutView="0" workbookViewId="0" topLeftCell="A39">
      <selection activeCell="C48" sqref="C48"/>
    </sheetView>
  </sheetViews>
  <sheetFormatPr defaultColWidth="9.140625" defaultRowHeight="12.75"/>
  <cols>
    <col min="1" max="1" width="3.00390625" style="1" customWidth="1"/>
    <col min="2" max="2" width="36.7109375" style="1" customWidth="1"/>
    <col min="3" max="3" width="6.28125" style="1" customWidth="1"/>
    <col min="4" max="4" width="7.8515625" style="1" customWidth="1"/>
    <col min="5" max="5" width="8.28125" style="1" customWidth="1"/>
    <col min="6" max="6" width="9.7109375" style="1" customWidth="1"/>
    <col min="7" max="7" width="8.2812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61</v>
      </c>
      <c r="B3" s="158"/>
      <c r="C3" s="158"/>
      <c r="D3" s="158"/>
      <c r="E3" s="158"/>
      <c r="F3" s="158"/>
      <c r="G3" s="158"/>
      <c r="H3" s="158"/>
      <c r="I3" s="158"/>
    </row>
    <row r="4" spans="1:9" ht="21" customHeight="1">
      <c r="A4" s="158" t="s">
        <v>101</v>
      </c>
      <c r="B4" s="158"/>
      <c r="C4" s="158"/>
      <c r="D4" s="158"/>
      <c r="E4" s="158"/>
      <c r="F4" s="158"/>
      <c r="G4" s="158"/>
      <c r="H4" s="158"/>
      <c r="I4" s="158"/>
    </row>
    <row r="5" spans="1:9" ht="6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6.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46" t="s">
        <v>9</v>
      </c>
      <c r="F7" s="46" t="s">
        <v>1</v>
      </c>
      <c r="G7" s="46" t="s">
        <v>9</v>
      </c>
      <c r="H7" s="46" t="s">
        <v>1</v>
      </c>
      <c r="I7" s="162"/>
    </row>
    <row r="8" spans="1:9" ht="14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9" ht="24.75" customHeight="1">
      <c r="A9" s="153" t="s">
        <v>102</v>
      </c>
      <c r="B9" s="154"/>
      <c r="C9" s="154"/>
      <c r="D9" s="154"/>
      <c r="E9" s="154"/>
      <c r="F9" s="154"/>
      <c r="G9" s="154"/>
      <c r="H9" s="154"/>
      <c r="I9" s="155"/>
    </row>
    <row r="10" spans="1:9" ht="29.25" customHeight="1">
      <c r="A10" s="45">
        <v>1</v>
      </c>
      <c r="B10" s="39" t="s">
        <v>189</v>
      </c>
      <c r="C10" s="38" t="s">
        <v>12</v>
      </c>
      <c r="D10" s="42">
        <f>670*0.12</f>
        <v>80.39999999999999</v>
      </c>
      <c r="E10" s="40"/>
      <c r="F10" s="41">
        <f>E10*D10</f>
        <v>0</v>
      </c>
      <c r="G10" s="40"/>
      <c r="H10" s="64">
        <f>G10*D10</f>
        <v>0</v>
      </c>
      <c r="I10" s="64">
        <f aca="true" t="shared" si="0" ref="I10:I17">F10+H10</f>
        <v>0</v>
      </c>
    </row>
    <row r="11" spans="1:9" ht="31.5" customHeight="1">
      <c r="A11" s="76">
        <v>2</v>
      </c>
      <c r="B11" s="39" t="s">
        <v>183</v>
      </c>
      <c r="C11" s="38" t="s">
        <v>5</v>
      </c>
      <c r="D11" s="42">
        <f>670*1.15</f>
        <v>770.4999999999999</v>
      </c>
      <c r="E11" s="40"/>
      <c r="F11" s="64">
        <f>E11*D11</f>
        <v>0</v>
      </c>
      <c r="G11" s="40"/>
      <c r="H11" s="64">
        <f>G11*D11</f>
        <v>0</v>
      </c>
      <c r="I11" s="64">
        <f>F11+H11</f>
        <v>0</v>
      </c>
    </row>
    <row r="12" spans="1:9" ht="31.5" customHeight="1">
      <c r="A12" s="76">
        <v>3</v>
      </c>
      <c r="B12" s="39" t="s">
        <v>184</v>
      </c>
      <c r="C12" s="38" t="s">
        <v>5</v>
      </c>
      <c r="D12" s="42">
        <v>598</v>
      </c>
      <c r="E12" s="40"/>
      <c r="F12" s="64"/>
      <c r="G12" s="40"/>
      <c r="H12" s="64">
        <f>G12*D12</f>
        <v>0</v>
      </c>
      <c r="I12" s="64">
        <f>F12+H12</f>
        <v>0</v>
      </c>
    </row>
    <row r="13" spans="1:9" ht="24.75" customHeight="1">
      <c r="A13" s="76"/>
      <c r="B13" s="36" t="s">
        <v>185</v>
      </c>
      <c r="C13" s="76" t="s">
        <v>5</v>
      </c>
      <c r="D13" s="85">
        <f>D12</f>
        <v>598</v>
      </c>
      <c r="E13" s="88"/>
      <c r="F13" s="86">
        <f>E13*D13</f>
        <v>0</v>
      </c>
      <c r="G13" s="87"/>
      <c r="H13" s="86"/>
      <c r="I13" s="86">
        <f>F13+H13</f>
        <v>0</v>
      </c>
    </row>
    <row r="14" spans="1:9" ht="24.75" customHeight="1">
      <c r="A14" s="76"/>
      <c r="B14" s="36" t="s">
        <v>186</v>
      </c>
      <c r="C14" s="76" t="s">
        <v>38</v>
      </c>
      <c r="D14" s="85">
        <f>D12*0.05</f>
        <v>29.900000000000002</v>
      </c>
      <c r="E14" s="88"/>
      <c r="F14" s="86">
        <f>E14*D14</f>
        <v>0</v>
      </c>
      <c r="G14" s="87"/>
      <c r="H14" s="86"/>
      <c r="I14" s="86">
        <f>F14+H14</f>
        <v>0</v>
      </c>
    </row>
    <row r="15" spans="1:9" ht="54" customHeight="1">
      <c r="A15" s="63">
        <v>4</v>
      </c>
      <c r="B15" s="39" t="s">
        <v>182</v>
      </c>
      <c r="C15" s="38" t="s">
        <v>5</v>
      </c>
      <c r="D15" s="42">
        <v>598</v>
      </c>
      <c r="E15" s="40"/>
      <c r="F15" s="41"/>
      <c r="G15" s="40"/>
      <c r="H15" s="64">
        <f>G15*D15</f>
        <v>0</v>
      </c>
      <c r="I15" s="64">
        <f t="shared" si="0"/>
        <v>0</v>
      </c>
    </row>
    <row r="16" spans="1:9" ht="20.25" customHeight="1">
      <c r="A16" s="63"/>
      <c r="B16" s="36" t="s">
        <v>86</v>
      </c>
      <c r="C16" s="63" t="s">
        <v>12</v>
      </c>
      <c r="D16" s="89">
        <f>D15*0.04*1.02</f>
        <v>24.398400000000002</v>
      </c>
      <c r="E16" s="88"/>
      <c r="F16" s="86">
        <f aca="true" t="shared" si="1" ref="F16:F21">E16*D16</f>
        <v>0</v>
      </c>
      <c r="G16" s="87"/>
      <c r="H16" s="86"/>
      <c r="I16" s="86">
        <f t="shared" si="0"/>
        <v>0</v>
      </c>
    </row>
    <row r="17" spans="1:9" ht="20.25" customHeight="1">
      <c r="A17" s="63"/>
      <c r="B17" s="36" t="s">
        <v>80</v>
      </c>
      <c r="C17" s="63" t="s">
        <v>81</v>
      </c>
      <c r="D17" s="89">
        <f>D16*0.35</f>
        <v>8.53944</v>
      </c>
      <c r="E17" s="88"/>
      <c r="F17" s="86">
        <f t="shared" si="1"/>
        <v>0</v>
      </c>
      <c r="G17" s="87"/>
      <c r="H17" s="86"/>
      <c r="I17" s="86">
        <f t="shared" si="0"/>
        <v>0</v>
      </c>
    </row>
    <row r="18" spans="1:9" ht="20.25" customHeight="1">
      <c r="A18" s="76"/>
      <c r="B18" s="36" t="s">
        <v>188</v>
      </c>
      <c r="C18" s="76" t="s">
        <v>38</v>
      </c>
      <c r="D18" s="89">
        <f>D16*4</f>
        <v>97.59360000000001</v>
      </c>
      <c r="E18" s="88"/>
      <c r="F18" s="86">
        <f t="shared" si="1"/>
        <v>0</v>
      </c>
      <c r="G18" s="87"/>
      <c r="H18" s="86"/>
      <c r="I18" s="86">
        <f>F18+H18</f>
        <v>0</v>
      </c>
    </row>
    <row r="19" spans="1:9" ht="20.25" customHeight="1">
      <c r="A19" s="76"/>
      <c r="B19" s="36" t="s">
        <v>187</v>
      </c>
      <c r="C19" s="76" t="s">
        <v>5</v>
      </c>
      <c r="D19" s="85">
        <v>368</v>
      </c>
      <c r="E19" s="88"/>
      <c r="F19" s="86">
        <f t="shared" si="1"/>
        <v>0</v>
      </c>
      <c r="G19" s="87"/>
      <c r="H19" s="86"/>
      <c r="I19" s="86">
        <f>F19+H19</f>
        <v>0</v>
      </c>
    </row>
    <row r="20" spans="1:9" ht="33.75" customHeight="1">
      <c r="A20" s="76">
        <v>5</v>
      </c>
      <c r="B20" s="39" t="s">
        <v>190</v>
      </c>
      <c r="C20" s="38" t="s">
        <v>5</v>
      </c>
      <c r="D20" s="42">
        <f>598*1.15</f>
        <v>687.6999999999999</v>
      </c>
      <c r="E20" s="40"/>
      <c r="F20" s="64">
        <f t="shared" si="1"/>
        <v>0</v>
      </c>
      <c r="G20" s="40"/>
      <c r="H20" s="64">
        <f>G20*D20</f>
        <v>0</v>
      </c>
      <c r="I20" s="64">
        <f>F20+H20</f>
        <v>0</v>
      </c>
    </row>
    <row r="21" spans="1:9" ht="33.75" customHeight="1">
      <c r="A21" s="76">
        <v>6</v>
      </c>
      <c r="B21" s="39" t="s">
        <v>191</v>
      </c>
      <c r="C21" s="38" t="s">
        <v>5</v>
      </c>
      <c r="D21" s="42">
        <f>598*1.05</f>
        <v>627.9</v>
      </c>
      <c r="E21" s="40"/>
      <c r="F21" s="64">
        <f t="shared" si="1"/>
        <v>0</v>
      </c>
      <c r="G21" s="40"/>
      <c r="H21" s="64">
        <f>G21*D21</f>
        <v>0</v>
      </c>
      <c r="I21" s="64">
        <f>F21+H21</f>
        <v>0</v>
      </c>
    </row>
    <row r="22" spans="1:9" ht="7.5" customHeight="1">
      <c r="A22" s="45"/>
      <c r="B22" s="26"/>
      <c r="C22" s="45"/>
      <c r="D22" s="4"/>
      <c r="E22" s="17"/>
      <c r="F22" s="5"/>
      <c r="G22" s="18"/>
      <c r="H22" s="5"/>
      <c r="I22" s="5"/>
    </row>
    <row r="23" spans="1:9" ht="27.75" customHeight="1">
      <c r="A23" s="45"/>
      <c r="B23" s="27" t="s">
        <v>15</v>
      </c>
      <c r="C23" s="45"/>
      <c r="D23" s="3"/>
      <c r="E23" s="4"/>
      <c r="F23" s="5">
        <f>SUM(F10:F22)</f>
        <v>0</v>
      </c>
      <c r="G23" s="4"/>
      <c r="H23" s="5">
        <f>SUM(H10:H22)</f>
        <v>0</v>
      </c>
      <c r="I23" s="5">
        <f>F23+H23</f>
        <v>0</v>
      </c>
    </row>
    <row r="24" spans="1:9" ht="24.75" customHeight="1">
      <c r="A24" s="153" t="s">
        <v>199</v>
      </c>
      <c r="B24" s="154"/>
      <c r="C24" s="154"/>
      <c r="D24" s="154"/>
      <c r="E24" s="154"/>
      <c r="F24" s="154"/>
      <c r="G24" s="154"/>
      <c r="H24" s="154"/>
      <c r="I24" s="155"/>
    </row>
    <row r="25" spans="1:9" ht="29.25" customHeight="1">
      <c r="A25" s="45">
        <v>1</v>
      </c>
      <c r="B25" s="39" t="s">
        <v>104</v>
      </c>
      <c r="C25" s="38" t="s">
        <v>103</v>
      </c>
      <c r="D25" s="40">
        <v>6</v>
      </c>
      <c r="E25" s="40"/>
      <c r="F25" s="41"/>
      <c r="G25" s="42"/>
      <c r="H25" s="41">
        <f>G25*D25</f>
        <v>0</v>
      </c>
      <c r="I25" s="41">
        <f aca="true" t="shared" si="2" ref="I25:I35">F25+H25</f>
        <v>0</v>
      </c>
    </row>
    <row r="26" spans="1:9" ht="22.5" customHeight="1">
      <c r="A26" s="63"/>
      <c r="B26" s="39" t="s">
        <v>105</v>
      </c>
      <c r="C26" s="38" t="s">
        <v>103</v>
      </c>
      <c r="D26" s="40">
        <v>6</v>
      </c>
      <c r="E26" s="40"/>
      <c r="F26" s="41">
        <f>E26*D26</f>
        <v>0</v>
      </c>
      <c r="G26" s="42"/>
      <c r="H26" s="41"/>
      <c r="I26" s="41">
        <f t="shared" si="2"/>
        <v>0</v>
      </c>
    </row>
    <row r="27" spans="1:9" ht="22.5" customHeight="1">
      <c r="A27" s="63"/>
      <c r="B27" s="39" t="s">
        <v>192</v>
      </c>
      <c r="C27" s="38" t="s">
        <v>103</v>
      </c>
      <c r="D27" s="40">
        <v>6</v>
      </c>
      <c r="E27" s="40"/>
      <c r="F27" s="41">
        <f>E27*D27</f>
        <v>0</v>
      </c>
      <c r="G27" s="42"/>
      <c r="H27" s="41"/>
      <c r="I27" s="41">
        <f t="shared" si="2"/>
        <v>0</v>
      </c>
    </row>
    <row r="28" spans="1:9" ht="34.5" customHeight="1">
      <c r="A28" s="45">
        <v>2</v>
      </c>
      <c r="B28" s="39" t="s">
        <v>193</v>
      </c>
      <c r="C28" s="38" t="s">
        <v>20</v>
      </c>
      <c r="D28" s="40">
        <f>6*38</f>
        <v>228</v>
      </c>
      <c r="E28" s="40"/>
      <c r="F28" s="41">
        <f>E28*D28</f>
        <v>0</v>
      </c>
      <c r="G28" s="42"/>
      <c r="H28" s="41">
        <f>G28*D28</f>
        <v>0</v>
      </c>
      <c r="I28" s="41">
        <f t="shared" si="2"/>
        <v>0</v>
      </c>
    </row>
    <row r="29" spans="1:9" ht="34.5" customHeight="1">
      <c r="A29" s="63">
        <v>3</v>
      </c>
      <c r="B29" s="39" t="s">
        <v>106</v>
      </c>
      <c r="C29" s="38" t="s">
        <v>27</v>
      </c>
      <c r="D29" s="40">
        <v>18</v>
      </c>
      <c r="E29" s="40"/>
      <c r="F29" s="41">
        <f>E29*D29</f>
        <v>0</v>
      </c>
      <c r="G29" s="42"/>
      <c r="H29" s="41">
        <f>G29*D29</f>
        <v>0</v>
      </c>
      <c r="I29" s="41">
        <f t="shared" si="2"/>
        <v>0</v>
      </c>
    </row>
    <row r="30" spans="1:9" ht="50.25" customHeight="1">
      <c r="A30" s="76">
        <v>4</v>
      </c>
      <c r="B30" s="39" t="s">
        <v>219</v>
      </c>
      <c r="C30" s="38" t="s">
        <v>103</v>
      </c>
      <c r="D30" s="40">
        <v>12</v>
      </c>
      <c r="E30" s="40"/>
      <c r="F30" s="41"/>
      <c r="G30" s="42"/>
      <c r="H30" s="41">
        <f>G30*D30</f>
        <v>0</v>
      </c>
      <c r="I30" s="41">
        <f t="shared" si="2"/>
        <v>0</v>
      </c>
    </row>
    <row r="31" spans="1:9" ht="22.5" customHeight="1">
      <c r="A31" s="76"/>
      <c r="B31" s="39" t="s">
        <v>200</v>
      </c>
      <c r="C31" s="38" t="s">
        <v>6</v>
      </c>
      <c r="D31" s="40">
        <v>80</v>
      </c>
      <c r="E31" s="40"/>
      <c r="F31" s="41">
        <f>E31*D31</f>
        <v>0</v>
      </c>
      <c r="G31" s="42"/>
      <c r="H31" s="41"/>
      <c r="I31" s="41">
        <f t="shared" si="2"/>
        <v>0</v>
      </c>
    </row>
    <row r="32" spans="1:9" ht="22.5" customHeight="1">
      <c r="A32" s="76"/>
      <c r="B32" s="39" t="s">
        <v>201</v>
      </c>
      <c r="C32" s="38" t="s">
        <v>202</v>
      </c>
      <c r="D32" s="40">
        <f>4.8*1.1</f>
        <v>5.28</v>
      </c>
      <c r="E32" s="40"/>
      <c r="F32" s="41">
        <f>E32*D32</f>
        <v>0</v>
      </c>
      <c r="G32" s="42"/>
      <c r="H32" s="41"/>
      <c r="I32" s="41">
        <f t="shared" si="2"/>
        <v>0</v>
      </c>
    </row>
    <row r="33" spans="1:9" ht="31.5" customHeight="1">
      <c r="A33" s="76"/>
      <c r="B33" s="39" t="s">
        <v>203</v>
      </c>
      <c r="C33" s="38" t="s">
        <v>180</v>
      </c>
      <c r="D33" s="40">
        <v>1</v>
      </c>
      <c r="E33" s="40"/>
      <c r="F33" s="41">
        <f>E33*D33</f>
        <v>0</v>
      </c>
      <c r="G33" s="42"/>
      <c r="H33" s="41"/>
      <c r="I33" s="41">
        <f t="shared" si="2"/>
        <v>0</v>
      </c>
    </row>
    <row r="34" spans="1:9" ht="50.25" customHeight="1">
      <c r="A34" s="76">
        <v>5</v>
      </c>
      <c r="B34" s="39" t="s">
        <v>204</v>
      </c>
      <c r="C34" s="38" t="s">
        <v>5</v>
      </c>
      <c r="D34" s="40">
        <v>38</v>
      </c>
      <c r="E34" s="40"/>
      <c r="F34" s="41"/>
      <c r="G34" s="42"/>
      <c r="H34" s="41">
        <f>G34*D34</f>
        <v>0</v>
      </c>
      <c r="I34" s="41">
        <f t="shared" si="2"/>
        <v>0</v>
      </c>
    </row>
    <row r="35" spans="1:9" ht="32.25" customHeight="1">
      <c r="A35" s="76"/>
      <c r="B35" s="39" t="s">
        <v>205</v>
      </c>
      <c r="C35" s="38" t="s">
        <v>38</v>
      </c>
      <c r="D35" s="40">
        <f>D34*0.4</f>
        <v>15.200000000000001</v>
      </c>
      <c r="E35" s="40"/>
      <c r="F35" s="41">
        <f>E35*D35</f>
        <v>0</v>
      </c>
      <c r="G35" s="42"/>
      <c r="H35" s="41"/>
      <c r="I35" s="41">
        <f t="shared" si="2"/>
        <v>0</v>
      </c>
    </row>
    <row r="36" spans="1:9" ht="4.5" customHeight="1">
      <c r="A36" s="93"/>
      <c r="B36" s="36"/>
      <c r="C36" s="93"/>
      <c r="D36" s="4"/>
      <c r="E36" s="29"/>
      <c r="F36" s="5"/>
      <c r="G36" s="18"/>
      <c r="H36" s="5"/>
      <c r="I36" s="5"/>
    </row>
    <row r="37" spans="1:11" ht="37.5" customHeight="1">
      <c r="A37" s="139">
        <v>4</v>
      </c>
      <c r="B37" s="36" t="s">
        <v>250</v>
      </c>
      <c r="C37" s="139" t="s">
        <v>238</v>
      </c>
      <c r="D37" s="42">
        <f>1*4*30</f>
        <v>120</v>
      </c>
      <c r="E37" s="40"/>
      <c r="F37" s="41"/>
      <c r="G37" s="40"/>
      <c r="H37" s="41">
        <f>G37*D37</f>
        <v>0</v>
      </c>
      <c r="I37" s="64">
        <f>F37+H37</f>
        <v>0</v>
      </c>
      <c r="K37" s="142"/>
    </row>
    <row r="38" spans="1:9" ht="7.5" customHeight="1">
      <c r="A38" s="45"/>
      <c r="B38" s="26"/>
      <c r="C38" s="45"/>
      <c r="D38" s="4"/>
      <c r="E38" s="17"/>
      <c r="F38" s="5"/>
      <c r="G38" s="18"/>
      <c r="H38" s="5"/>
      <c r="I38" s="5"/>
    </row>
    <row r="39" spans="1:9" ht="27.75" customHeight="1">
      <c r="A39" s="45"/>
      <c r="B39" s="27" t="s">
        <v>16</v>
      </c>
      <c r="C39" s="45"/>
      <c r="D39" s="3"/>
      <c r="E39" s="4"/>
      <c r="F39" s="5">
        <f>SUM(F25:F38)</f>
        <v>0</v>
      </c>
      <c r="G39" s="4"/>
      <c r="H39" s="5">
        <f>SUM(H25:H38)</f>
        <v>0</v>
      </c>
      <c r="I39" s="5">
        <f>F39+H39</f>
        <v>0</v>
      </c>
    </row>
    <row r="40" spans="1:9" ht="9" customHeight="1">
      <c r="A40" s="166"/>
      <c r="B40" s="167"/>
      <c r="C40" s="167"/>
      <c r="D40" s="167"/>
      <c r="E40" s="167"/>
      <c r="F40" s="167"/>
      <c r="G40" s="167"/>
      <c r="H40" s="167"/>
      <c r="I40" s="168"/>
    </row>
    <row r="41" spans="1:9" ht="29.25" customHeight="1">
      <c r="A41" s="45"/>
      <c r="B41" s="27" t="s">
        <v>49</v>
      </c>
      <c r="C41" s="45"/>
      <c r="D41" s="3"/>
      <c r="E41" s="4"/>
      <c r="F41" s="5">
        <f>F23+F39</f>
        <v>0</v>
      </c>
      <c r="G41" s="4"/>
      <c r="H41" s="5">
        <f>H23+H39</f>
        <v>0</v>
      </c>
      <c r="I41" s="5">
        <f>F41+H41</f>
        <v>0</v>
      </c>
    </row>
    <row r="42" spans="1:9" ht="33.75" customHeight="1">
      <c r="A42" s="92"/>
      <c r="B42" s="28" t="s">
        <v>147</v>
      </c>
      <c r="C42" s="22">
        <v>0</v>
      </c>
      <c r="D42" s="3"/>
      <c r="E42" s="4"/>
      <c r="F42" s="5"/>
      <c r="G42" s="4"/>
      <c r="H42" s="23"/>
      <c r="I42" s="5">
        <f>F41*C42</f>
        <v>0</v>
      </c>
    </row>
    <row r="43" spans="1:9" ht="25.5" customHeight="1">
      <c r="A43" s="92"/>
      <c r="B43" s="28" t="s">
        <v>13</v>
      </c>
      <c r="C43" s="92"/>
      <c r="D43" s="3"/>
      <c r="E43" s="4"/>
      <c r="F43" s="5"/>
      <c r="G43" s="4"/>
      <c r="H43" s="23"/>
      <c r="I43" s="5">
        <f>I41+I42</f>
        <v>0</v>
      </c>
    </row>
    <row r="44" spans="1:9" ht="25.5" customHeight="1">
      <c r="A44" s="92"/>
      <c r="B44" s="28" t="s">
        <v>146</v>
      </c>
      <c r="C44" s="22">
        <v>0</v>
      </c>
      <c r="D44" s="3"/>
      <c r="E44" s="4"/>
      <c r="F44" s="5"/>
      <c r="G44" s="4"/>
      <c r="H44" s="23"/>
      <c r="I44" s="5">
        <f>I43*C44</f>
        <v>0</v>
      </c>
    </row>
    <row r="45" spans="1:9" ht="25.5" customHeight="1">
      <c r="A45" s="92"/>
      <c r="B45" s="28" t="s">
        <v>13</v>
      </c>
      <c r="C45" s="92"/>
      <c r="D45" s="3"/>
      <c r="E45" s="4"/>
      <c r="F45" s="5"/>
      <c r="G45" s="4"/>
      <c r="H45" s="23"/>
      <c r="I45" s="5">
        <f>I43+I44</f>
        <v>0</v>
      </c>
    </row>
    <row r="46" spans="1:9" ht="25.5" customHeight="1">
      <c r="A46" s="92"/>
      <c r="B46" s="28" t="s">
        <v>93</v>
      </c>
      <c r="C46" s="24">
        <v>0</v>
      </c>
      <c r="D46" s="3"/>
      <c r="E46" s="4"/>
      <c r="F46" s="5"/>
      <c r="G46" s="4"/>
      <c r="H46" s="23"/>
      <c r="I46" s="5">
        <f>I45*C46</f>
        <v>0</v>
      </c>
    </row>
    <row r="47" spans="1:9" ht="25.5" customHeight="1">
      <c r="A47" s="92"/>
      <c r="B47" s="28" t="s">
        <v>2</v>
      </c>
      <c r="C47" s="92"/>
      <c r="D47" s="3"/>
      <c r="E47" s="4"/>
      <c r="F47" s="5"/>
      <c r="G47" s="4"/>
      <c r="H47" s="23"/>
      <c r="I47" s="5">
        <f>I46+I45</f>
        <v>0</v>
      </c>
    </row>
    <row r="48" spans="1:9" ht="25.5" customHeight="1">
      <c r="A48" s="92"/>
      <c r="B48" s="28" t="s">
        <v>94</v>
      </c>
      <c r="C48" s="24">
        <v>0</v>
      </c>
      <c r="D48" s="3"/>
      <c r="E48" s="4"/>
      <c r="F48" s="5"/>
      <c r="G48" s="4"/>
      <c r="H48" s="23"/>
      <c r="I48" s="5">
        <f>I47*C48</f>
        <v>0</v>
      </c>
    </row>
    <row r="49" spans="1:9" ht="25.5" customHeight="1">
      <c r="A49" s="92"/>
      <c r="B49" s="28" t="s">
        <v>2</v>
      </c>
      <c r="C49" s="92"/>
      <c r="D49" s="3"/>
      <c r="E49" s="4"/>
      <c r="F49" s="5"/>
      <c r="G49" s="4"/>
      <c r="H49" s="23"/>
      <c r="I49" s="5">
        <f>I48+I47</f>
        <v>0</v>
      </c>
    </row>
    <row r="50" spans="1:9" ht="25.5" customHeight="1">
      <c r="A50" s="92"/>
      <c r="B50" s="28" t="s">
        <v>95</v>
      </c>
      <c r="C50" s="24">
        <v>0.18</v>
      </c>
      <c r="D50" s="3"/>
      <c r="E50" s="4"/>
      <c r="F50" s="5"/>
      <c r="G50" s="4"/>
      <c r="H50" s="23"/>
      <c r="I50" s="5">
        <f>I49*C50</f>
        <v>0</v>
      </c>
    </row>
    <row r="51" spans="1:9" ht="25.5" customHeight="1">
      <c r="A51" s="92"/>
      <c r="B51" s="28" t="s">
        <v>35</v>
      </c>
      <c r="C51" s="92"/>
      <c r="D51" s="3"/>
      <c r="E51" s="4"/>
      <c r="F51" s="5"/>
      <c r="G51" s="4"/>
      <c r="H51" s="23"/>
      <c r="I51" s="5">
        <f>I50+I49</f>
        <v>0</v>
      </c>
    </row>
    <row r="52" spans="1:9" ht="15">
      <c r="A52" s="19"/>
      <c r="B52" s="20"/>
      <c r="C52" s="16"/>
      <c r="D52" s="21"/>
      <c r="E52" s="35"/>
      <c r="F52" s="21"/>
      <c r="G52" s="35"/>
      <c r="H52" s="21"/>
      <c r="I52" s="21"/>
    </row>
    <row r="53" spans="1:9" ht="14.25">
      <c r="A53" s="19"/>
      <c r="B53" s="16"/>
      <c r="C53" s="16"/>
      <c r="D53" s="21"/>
      <c r="E53" s="35"/>
      <c r="F53" s="21"/>
      <c r="G53" s="35"/>
      <c r="H53" s="21"/>
      <c r="I53" s="21"/>
    </row>
    <row r="54" spans="1:9" ht="14.25">
      <c r="A54" s="19"/>
      <c r="B54" s="16"/>
      <c r="C54" s="16"/>
      <c r="D54" s="21"/>
      <c r="E54" s="35"/>
      <c r="F54" s="21"/>
      <c r="G54" s="35"/>
      <c r="H54" s="21"/>
      <c r="I54" s="21"/>
    </row>
    <row r="55" spans="1:9" ht="15">
      <c r="A55" s="19"/>
      <c r="B55" s="20"/>
      <c r="C55" s="16"/>
      <c r="D55" s="21"/>
      <c r="E55" s="35"/>
      <c r="F55" s="21"/>
      <c r="G55" s="35"/>
      <c r="H55" s="21"/>
      <c r="I55" s="21"/>
    </row>
    <row r="56" spans="1:9" ht="15">
      <c r="A56" s="19"/>
      <c r="B56" s="20"/>
      <c r="C56" s="16"/>
      <c r="D56" s="21"/>
      <c r="E56" s="35"/>
      <c r="F56" s="21"/>
      <c r="G56" s="35"/>
      <c r="H56" s="21"/>
      <c r="I56" s="21"/>
    </row>
    <row r="57" spans="1:9" ht="15">
      <c r="A57" s="19"/>
      <c r="B57" s="20"/>
      <c r="C57" s="16"/>
      <c r="D57" s="21"/>
      <c r="E57" s="35"/>
      <c r="F57" s="21"/>
      <c r="G57" s="35"/>
      <c r="H57" s="21"/>
      <c r="I57" s="21"/>
    </row>
    <row r="58" spans="1:9" ht="14.25">
      <c r="A58" s="19"/>
      <c r="B58" s="16"/>
      <c r="C58" s="16"/>
      <c r="D58" s="21"/>
      <c r="E58" s="35"/>
      <c r="F58" s="21"/>
      <c r="G58" s="35"/>
      <c r="H58" s="21"/>
      <c r="I58" s="21"/>
    </row>
    <row r="59" spans="1:9" ht="14.25">
      <c r="A59" s="19"/>
      <c r="B59" s="16"/>
      <c r="C59" s="16"/>
      <c r="D59" s="21"/>
      <c r="E59" s="35"/>
      <c r="F59" s="21"/>
      <c r="G59" s="35"/>
      <c r="H59" s="21"/>
      <c r="I59" s="21"/>
    </row>
    <row r="60" spans="1:9" ht="14.25">
      <c r="A60" s="19"/>
      <c r="B60" s="16"/>
      <c r="C60" s="16"/>
      <c r="D60" s="21"/>
      <c r="E60" s="35"/>
      <c r="F60" s="21"/>
      <c r="G60" s="35"/>
      <c r="H60" s="21"/>
      <c r="I60" s="21"/>
    </row>
    <row r="61" spans="1:6" ht="12.75">
      <c r="A61" s="25"/>
      <c r="F61" s="2"/>
    </row>
    <row r="62" ht="12.75">
      <c r="F62" s="2"/>
    </row>
    <row r="63" ht="12.75">
      <c r="F63" s="2"/>
    </row>
  </sheetData>
  <sheetProtection/>
  <mergeCells count="15">
    <mergeCell ref="A6:A7"/>
    <mergeCell ref="B6:B7"/>
    <mergeCell ref="C6:C7"/>
    <mergeCell ref="D6:D7"/>
    <mergeCell ref="E6:F6"/>
    <mergeCell ref="G6:H6"/>
    <mergeCell ref="I6:I7"/>
    <mergeCell ref="A9:I9"/>
    <mergeCell ref="A40:I40"/>
    <mergeCell ref="A24:I24"/>
    <mergeCell ref="A1:I1"/>
    <mergeCell ref="A2:I2"/>
    <mergeCell ref="A3:I3"/>
    <mergeCell ref="A4:I4"/>
    <mergeCell ref="A5:I5"/>
  </mergeCells>
  <printOptions/>
  <pageMargins left="0.35" right="0.16" top="0.25" bottom="0.2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96"/>
  <sheetViews>
    <sheetView zoomScaleSheetLayoutView="100" zoomScalePageLayoutView="0" workbookViewId="0" topLeftCell="A80">
      <selection activeCell="D95" sqref="D95"/>
    </sheetView>
  </sheetViews>
  <sheetFormatPr defaultColWidth="9.140625" defaultRowHeight="12.75"/>
  <cols>
    <col min="1" max="1" width="3.57421875" style="1" customWidth="1"/>
    <col min="2" max="2" width="37.57421875" style="1" customWidth="1"/>
    <col min="3" max="3" width="5.7109375" style="1" customWidth="1"/>
    <col min="4" max="4" width="9.140625" style="1" customWidth="1"/>
    <col min="5" max="5" width="8.28125" style="1" customWidth="1"/>
    <col min="6" max="6" width="9.7109375" style="1" customWidth="1"/>
    <col min="7" max="7" width="8.2812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69</v>
      </c>
      <c r="B3" s="158"/>
      <c r="C3" s="158"/>
      <c r="D3" s="158"/>
      <c r="E3" s="158"/>
      <c r="F3" s="158"/>
      <c r="G3" s="158"/>
      <c r="H3" s="158"/>
      <c r="I3" s="158"/>
    </row>
    <row r="4" spans="1:9" ht="21" customHeight="1">
      <c r="A4" s="158" t="s">
        <v>19</v>
      </c>
      <c r="B4" s="158"/>
      <c r="C4" s="158"/>
      <c r="D4" s="158"/>
      <c r="E4" s="158"/>
      <c r="F4" s="158"/>
      <c r="G4" s="158"/>
      <c r="H4" s="158"/>
      <c r="I4" s="158"/>
    </row>
    <row r="5" spans="1:9" ht="6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6.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62" t="s">
        <v>9</v>
      </c>
      <c r="F7" s="62" t="s">
        <v>1</v>
      </c>
      <c r="G7" s="62" t="s">
        <v>9</v>
      </c>
      <c r="H7" s="62" t="s">
        <v>1</v>
      </c>
      <c r="I7" s="162"/>
    </row>
    <row r="8" spans="1:9" ht="14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</row>
    <row r="9" spans="1:9" ht="21" customHeight="1">
      <c r="A9" s="153" t="s">
        <v>234</v>
      </c>
      <c r="B9" s="154"/>
      <c r="C9" s="154"/>
      <c r="D9" s="154"/>
      <c r="E9" s="154"/>
      <c r="F9" s="154"/>
      <c r="G9" s="154"/>
      <c r="H9" s="154"/>
      <c r="I9" s="155"/>
    </row>
    <row r="10" spans="1:9" ht="51" customHeight="1">
      <c r="A10" s="76">
        <v>1</v>
      </c>
      <c r="B10" s="26" t="s">
        <v>353</v>
      </c>
      <c r="C10" s="76" t="s">
        <v>5</v>
      </c>
      <c r="D10" s="4">
        <v>242.8</v>
      </c>
      <c r="E10" s="29"/>
      <c r="F10" s="5"/>
      <c r="G10" s="18"/>
      <c r="H10" s="5">
        <f>G10*D10</f>
        <v>0</v>
      </c>
      <c r="I10" s="5">
        <f aca="true" t="shared" si="0" ref="I10:I25">F10+H10</f>
        <v>0</v>
      </c>
    </row>
    <row r="11" spans="1:9" ht="18.75" customHeight="1">
      <c r="A11" s="93"/>
      <c r="B11" s="36" t="s">
        <v>79</v>
      </c>
      <c r="C11" s="93" t="s">
        <v>12</v>
      </c>
      <c r="D11" s="4">
        <f>D10*0.04</f>
        <v>9.712000000000002</v>
      </c>
      <c r="E11" s="29"/>
      <c r="F11" s="5">
        <f>E11*D11</f>
        <v>0</v>
      </c>
      <c r="G11" s="18"/>
      <c r="H11" s="5"/>
      <c r="I11" s="5">
        <f>F11+H11</f>
        <v>0</v>
      </c>
    </row>
    <row r="12" spans="1:9" ht="18.75" customHeight="1">
      <c r="A12" s="93"/>
      <c r="B12" s="36" t="s">
        <v>80</v>
      </c>
      <c r="C12" s="93" t="s">
        <v>81</v>
      </c>
      <c r="D12" s="37">
        <f>D11*0.35</f>
        <v>3.3992000000000004</v>
      </c>
      <c r="E12" s="29"/>
      <c r="F12" s="5">
        <f>E12*D12</f>
        <v>0</v>
      </c>
      <c r="G12" s="18"/>
      <c r="H12" s="5"/>
      <c r="I12" s="5">
        <f>F12+H12</f>
        <v>0</v>
      </c>
    </row>
    <row r="13" spans="1:9" ht="92.25" customHeight="1">
      <c r="A13" s="93">
        <v>2</v>
      </c>
      <c r="B13" s="26" t="s">
        <v>352</v>
      </c>
      <c r="C13" s="93" t="s">
        <v>5</v>
      </c>
      <c r="D13" s="4">
        <v>412</v>
      </c>
      <c r="E13" s="17"/>
      <c r="F13" s="5"/>
      <c r="G13" s="18"/>
      <c r="H13" s="5">
        <f>G13*D13</f>
        <v>0</v>
      </c>
      <c r="I13" s="5">
        <f>F13+H13</f>
        <v>0</v>
      </c>
    </row>
    <row r="14" spans="1:9" ht="22.5" customHeight="1">
      <c r="A14" s="49"/>
      <c r="B14" s="50" t="s">
        <v>216</v>
      </c>
      <c r="C14" s="49" t="s">
        <v>5</v>
      </c>
      <c r="D14" s="51">
        <f>D13</f>
        <v>412</v>
      </c>
      <c r="E14" s="52"/>
      <c r="F14" s="53">
        <f>E14*D14</f>
        <v>0</v>
      </c>
      <c r="G14" s="52"/>
      <c r="H14" s="53"/>
      <c r="I14" s="53">
        <f>F14+H14</f>
        <v>0</v>
      </c>
    </row>
    <row r="15" spans="1:9" ht="22.5" customHeight="1">
      <c r="A15" s="49"/>
      <c r="B15" s="50" t="s">
        <v>215</v>
      </c>
      <c r="C15" s="49" t="s">
        <v>5</v>
      </c>
      <c r="D15" s="51">
        <f>D13</f>
        <v>412</v>
      </c>
      <c r="E15" s="52"/>
      <c r="F15" s="53">
        <f>E15*D15</f>
        <v>0</v>
      </c>
      <c r="G15" s="52"/>
      <c r="H15" s="53"/>
      <c r="I15" s="53">
        <f>F15+H15</f>
        <v>0</v>
      </c>
    </row>
    <row r="16" spans="1:9" ht="35.25" customHeight="1">
      <c r="A16" s="93">
        <v>3</v>
      </c>
      <c r="B16" s="26" t="s">
        <v>235</v>
      </c>
      <c r="C16" s="93" t="s">
        <v>5</v>
      </c>
      <c r="D16" s="3">
        <f>8382/10*12</f>
        <v>10058.400000000001</v>
      </c>
      <c r="E16" s="29"/>
      <c r="F16" s="5"/>
      <c r="G16" s="18"/>
      <c r="H16" s="5">
        <f>G16*D16</f>
        <v>0</v>
      </c>
      <c r="I16" s="5">
        <f t="shared" si="0"/>
        <v>0</v>
      </c>
    </row>
    <row r="17" spans="1:9" ht="20.25" customHeight="1">
      <c r="A17" s="93"/>
      <c r="B17" s="36" t="s">
        <v>236</v>
      </c>
      <c r="C17" s="93" t="s">
        <v>12</v>
      </c>
      <c r="D17" s="4">
        <f>D16*0.04</f>
        <v>402.33600000000007</v>
      </c>
      <c r="E17" s="29"/>
      <c r="F17" s="5">
        <f>E17*D17</f>
        <v>0</v>
      </c>
      <c r="G17" s="18"/>
      <c r="H17" s="5"/>
      <c r="I17" s="5">
        <f t="shared" si="0"/>
        <v>0</v>
      </c>
    </row>
    <row r="18" spans="1:9" ht="20.25" customHeight="1">
      <c r="A18" s="93"/>
      <c r="B18" s="36" t="s">
        <v>237</v>
      </c>
      <c r="C18" s="93" t="s">
        <v>103</v>
      </c>
      <c r="D18" s="4">
        <f>18*7</f>
        <v>126</v>
      </c>
      <c r="E18" s="18"/>
      <c r="F18" s="5">
        <f>E18*D18</f>
        <v>0</v>
      </c>
      <c r="G18" s="18"/>
      <c r="H18" s="5"/>
      <c r="I18" s="5">
        <f t="shared" si="0"/>
        <v>0</v>
      </c>
    </row>
    <row r="19" spans="1:9" ht="47.25" customHeight="1">
      <c r="A19" s="138">
        <v>4</v>
      </c>
      <c r="B19" s="26" t="s">
        <v>395</v>
      </c>
      <c r="C19" s="138" t="s">
        <v>5</v>
      </c>
      <c r="D19" s="3">
        <f>(6.1+2.8)*2*2*12</f>
        <v>427.19999999999993</v>
      </c>
      <c r="E19" s="18"/>
      <c r="F19" s="5"/>
      <c r="G19" s="18"/>
      <c r="H19" s="5">
        <f>G19*D19</f>
        <v>0</v>
      </c>
      <c r="I19" s="5">
        <f>F19+H19</f>
        <v>0</v>
      </c>
    </row>
    <row r="20" spans="1:9" ht="24" customHeight="1">
      <c r="A20" s="138"/>
      <c r="B20" s="36" t="s">
        <v>396</v>
      </c>
      <c r="C20" s="138" t="s">
        <v>5</v>
      </c>
      <c r="D20" s="3">
        <f>D19</f>
        <v>427.19999999999993</v>
      </c>
      <c r="E20" s="18"/>
      <c r="F20" s="5">
        <f>E20*D20</f>
        <v>0</v>
      </c>
      <c r="G20" s="18"/>
      <c r="H20" s="5"/>
      <c r="I20" s="5">
        <f>F20+H20</f>
        <v>0</v>
      </c>
    </row>
    <row r="21" spans="1:9" ht="20.25" customHeight="1">
      <c r="A21" s="138"/>
      <c r="B21" s="36" t="s">
        <v>216</v>
      </c>
      <c r="C21" s="138" t="s">
        <v>5</v>
      </c>
      <c r="D21" s="3">
        <f>D19</f>
        <v>427.19999999999993</v>
      </c>
      <c r="E21" s="18"/>
      <c r="F21" s="5">
        <f>E21*D21</f>
        <v>0</v>
      </c>
      <c r="G21" s="18"/>
      <c r="H21" s="5"/>
      <c r="I21" s="5">
        <f>F21+H21</f>
        <v>0</v>
      </c>
    </row>
    <row r="22" spans="1:9" ht="47.25" customHeight="1">
      <c r="A22" s="76">
        <v>5</v>
      </c>
      <c r="B22" s="26" t="s">
        <v>355</v>
      </c>
      <c r="C22" s="76" t="s">
        <v>5</v>
      </c>
      <c r="D22" s="3">
        <f>2452-D19</f>
        <v>2024.8000000000002</v>
      </c>
      <c r="E22" s="18"/>
      <c r="F22" s="5"/>
      <c r="G22" s="18"/>
      <c r="H22" s="5">
        <f>G22*D22</f>
        <v>0</v>
      </c>
      <c r="I22" s="5">
        <f t="shared" si="0"/>
        <v>0</v>
      </c>
    </row>
    <row r="23" spans="1:9" ht="24" customHeight="1">
      <c r="A23" s="76"/>
      <c r="B23" s="36" t="s">
        <v>85</v>
      </c>
      <c r="C23" s="76" t="s">
        <v>50</v>
      </c>
      <c r="D23" s="3">
        <f>D22*1.1</f>
        <v>2227.28</v>
      </c>
      <c r="E23" s="29"/>
      <c r="F23" s="5">
        <f>E23*D23</f>
        <v>0</v>
      </c>
      <c r="G23" s="18"/>
      <c r="H23" s="5"/>
      <c r="I23" s="5">
        <f t="shared" si="0"/>
        <v>0</v>
      </c>
    </row>
    <row r="24" spans="1:9" ht="51.75" customHeight="1">
      <c r="A24" s="76">
        <v>6</v>
      </c>
      <c r="B24" s="26" t="s">
        <v>354</v>
      </c>
      <c r="C24" s="76" t="s">
        <v>5</v>
      </c>
      <c r="D24" s="3">
        <f>D22</f>
        <v>2024.8000000000002</v>
      </c>
      <c r="E24" s="29"/>
      <c r="F24" s="5"/>
      <c r="G24" s="18"/>
      <c r="H24" s="5">
        <f>G24*D24</f>
        <v>0</v>
      </c>
      <c r="I24" s="5">
        <f t="shared" si="0"/>
        <v>0</v>
      </c>
    </row>
    <row r="25" spans="1:9" ht="24.75" customHeight="1">
      <c r="A25" s="76"/>
      <c r="B25" s="36" t="s">
        <v>51</v>
      </c>
      <c r="C25" s="76" t="s">
        <v>26</v>
      </c>
      <c r="D25" s="4">
        <f>D24*1.05</f>
        <v>2126.0400000000004</v>
      </c>
      <c r="E25" s="29"/>
      <c r="F25" s="5">
        <f>E25*D25</f>
        <v>0</v>
      </c>
      <c r="G25" s="18"/>
      <c r="H25" s="5"/>
      <c r="I25" s="5">
        <f t="shared" si="0"/>
        <v>0</v>
      </c>
    </row>
    <row r="26" spans="1:9" ht="27.75" customHeight="1">
      <c r="A26" s="76"/>
      <c r="B26" s="27" t="s">
        <v>15</v>
      </c>
      <c r="C26" s="76"/>
      <c r="D26" s="3"/>
      <c r="E26" s="4"/>
      <c r="F26" s="5">
        <f>SUM(F10:F25)</f>
        <v>0</v>
      </c>
      <c r="G26" s="4"/>
      <c r="H26" s="5">
        <f>SUM(H10:H25)</f>
        <v>0</v>
      </c>
      <c r="I26" s="5">
        <f>H26+F26</f>
        <v>0</v>
      </c>
    </row>
    <row r="27" spans="1:9" ht="25.5" customHeight="1">
      <c r="A27" s="153" t="s">
        <v>55</v>
      </c>
      <c r="B27" s="154"/>
      <c r="C27" s="154"/>
      <c r="D27" s="154"/>
      <c r="E27" s="154"/>
      <c r="F27" s="154"/>
      <c r="G27" s="154"/>
      <c r="H27" s="154"/>
      <c r="I27" s="155"/>
    </row>
    <row r="28" spans="1:9" ht="68.25" customHeight="1">
      <c r="A28" s="76">
        <v>1</v>
      </c>
      <c r="B28" s="26" t="s">
        <v>356</v>
      </c>
      <c r="C28" s="76" t="s">
        <v>5</v>
      </c>
      <c r="D28" s="3">
        <v>568.5</v>
      </c>
      <c r="E28" s="18"/>
      <c r="F28" s="5"/>
      <c r="G28" s="18"/>
      <c r="H28" s="5">
        <f>G28*D28</f>
        <v>0</v>
      </c>
      <c r="I28" s="5">
        <f aca="true" t="shared" si="1" ref="I28:I50">F28+H28</f>
        <v>0</v>
      </c>
    </row>
    <row r="29" spans="1:9" ht="20.25" customHeight="1">
      <c r="A29" s="76"/>
      <c r="B29" s="36" t="s">
        <v>86</v>
      </c>
      <c r="C29" s="76" t="s">
        <v>12</v>
      </c>
      <c r="D29" s="4">
        <f>D28*0.05</f>
        <v>28.425</v>
      </c>
      <c r="E29" s="29"/>
      <c r="F29" s="5">
        <f>E29*D29</f>
        <v>0</v>
      </c>
      <c r="G29" s="18"/>
      <c r="H29" s="5"/>
      <c r="I29" s="5">
        <f t="shared" si="1"/>
        <v>0</v>
      </c>
    </row>
    <row r="30" spans="1:9" ht="20.25" customHeight="1">
      <c r="A30" s="76"/>
      <c r="B30" s="36" t="s">
        <v>80</v>
      </c>
      <c r="C30" s="76" t="s">
        <v>81</v>
      </c>
      <c r="D30" s="4">
        <f>D29*0.35</f>
        <v>9.94875</v>
      </c>
      <c r="E30" s="29"/>
      <c r="F30" s="5">
        <f>E30*D30</f>
        <v>0</v>
      </c>
      <c r="G30" s="18"/>
      <c r="H30" s="5"/>
      <c r="I30" s="5">
        <f t="shared" si="1"/>
        <v>0</v>
      </c>
    </row>
    <row r="31" spans="1:9" ht="36" customHeight="1">
      <c r="A31" s="76"/>
      <c r="B31" s="36" t="s">
        <v>212</v>
      </c>
      <c r="C31" s="76" t="s">
        <v>5</v>
      </c>
      <c r="D31" s="4">
        <f>D28*1.02</f>
        <v>579.87</v>
      </c>
      <c r="E31" s="18"/>
      <c r="F31" s="5">
        <f>E31*D31</f>
        <v>0</v>
      </c>
      <c r="G31" s="18"/>
      <c r="H31" s="5"/>
      <c r="I31" s="5">
        <f t="shared" si="1"/>
        <v>0</v>
      </c>
    </row>
    <row r="32" spans="1:10" ht="33" customHeight="1">
      <c r="A32" s="76">
        <v>2</v>
      </c>
      <c r="B32" s="26" t="s">
        <v>157</v>
      </c>
      <c r="C32" s="76" t="s">
        <v>6</v>
      </c>
      <c r="D32" s="3">
        <f>D28*1.556</f>
        <v>884.586</v>
      </c>
      <c r="E32" s="77"/>
      <c r="F32" s="78"/>
      <c r="G32" s="77"/>
      <c r="H32" s="78">
        <f>G32*D32</f>
        <v>0</v>
      </c>
      <c r="I32" s="78">
        <f t="shared" si="1"/>
        <v>0</v>
      </c>
      <c r="J32" s="30"/>
    </row>
    <row r="33" spans="1:10" ht="21.75" customHeight="1">
      <c r="A33" s="76"/>
      <c r="B33" s="26" t="s">
        <v>158</v>
      </c>
      <c r="C33" s="76" t="s">
        <v>6</v>
      </c>
      <c r="D33" s="3">
        <f>D32</f>
        <v>884.586</v>
      </c>
      <c r="E33" s="77"/>
      <c r="F33" s="78">
        <f>E33*D33</f>
        <v>0</v>
      </c>
      <c r="G33" s="77"/>
      <c r="H33" s="78"/>
      <c r="I33" s="78">
        <f t="shared" si="1"/>
        <v>0</v>
      </c>
      <c r="J33" s="30"/>
    </row>
    <row r="34" spans="1:9" ht="31.5" customHeight="1">
      <c r="A34" s="76">
        <v>3</v>
      </c>
      <c r="B34" s="26" t="s">
        <v>239</v>
      </c>
      <c r="C34" s="76" t="s">
        <v>26</v>
      </c>
      <c r="D34" s="3">
        <f>516*11+570</f>
        <v>6246</v>
      </c>
      <c r="E34" s="18"/>
      <c r="F34" s="5"/>
      <c r="G34" s="17"/>
      <c r="H34" s="5">
        <f>G34*D34</f>
        <v>0</v>
      </c>
      <c r="I34" s="5">
        <f t="shared" si="1"/>
        <v>0</v>
      </c>
    </row>
    <row r="35" spans="1:9" ht="20.25" customHeight="1">
      <c r="A35" s="76"/>
      <c r="B35" s="36" t="s">
        <v>213</v>
      </c>
      <c r="C35" s="76" t="s">
        <v>12</v>
      </c>
      <c r="D35" s="4">
        <f>D34*0.05</f>
        <v>312.3</v>
      </c>
      <c r="E35" s="29"/>
      <c r="F35" s="5">
        <f>E35*D35</f>
        <v>0</v>
      </c>
      <c r="G35" s="18"/>
      <c r="H35" s="5"/>
      <c r="I35" s="5">
        <f t="shared" si="1"/>
        <v>0</v>
      </c>
    </row>
    <row r="36" spans="1:9" ht="36.75" customHeight="1">
      <c r="A36" s="93">
        <v>4</v>
      </c>
      <c r="B36" s="26" t="s">
        <v>240</v>
      </c>
      <c r="C36" s="93" t="s">
        <v>5</v>
      </c>
      <c r="D36" s="3">
        <f>D34</f>
        <v>6246</v>
      </c>
      <c r="E36" s="18"/>
      <c r="F36" s="5"/>
      <c r="G36" s="18"/>
      <c r="H36" s="5">
        <f>G36*D36</f>
        <v>0</v>
      </c>
      <c r="I36" s="5">
        <f t="shared" si="1"/>
        <v>0</v>
      </c>
    </row>
    <row r="37" spans="1:9" ht="20.25" customHeight="1">
      <c r="A37" s="93"/>
      <c r="B37" s="36" t="s">
        <v>86</v>
      </c>
      <c r="C37" s="93" t="s">
        <v>12</v>
      </c>
      <c r="D37" s="4">
        <f>D36*0.05</f>
        <v>312.3</v>
      </c>
      <c r="E37" s="29"/>
      <c r="F37" s="5">
        <f>E37*D37</f>
        <v>0</v>
      </c>
      <c r="G37" s="18"/>
      <c r="H37" s="5"/>
      <c r="I37" s="5">
        <f t="shared" si="1"/>
        <v>0</v>
      </c>
    </row>
    <row r="38" spans="1:9" ht="20.25" customHeight="1">
      <c r="A38" s="93"/>
      <c r="B38" s="36" t="s">
        <v>80</v>
      </c>
      <c r="C38" s="93" t="s">
        <v>81</v>
      </c>
      <c r="D38" s="4">
        <f>D37*0.35</f>
        <v>109.30499999999999</v>
      </c>
      <c r="E38" s="29"/>
      <c r="F38" s="5">
        <f>E38*D38</f>
        <v>0</v>
      </c>
      <c r="G38" s="18"/>
      <c r="H38" s="5"/>
      <c r="I38" s="5">
        <f t="shared" si="1"/>
        <v>0</v>
      </c>
    </row>
    <row r="39" spans="1:9" ht="37.5" customHeight="1">
      <c r="A39" s="93">
        <v>5</v>
      </c>
      <c r="B39" s="26" t="s">
        <v>358</v>
      </c>
      <c r="C39" s="93" t="s">
        <v>5</v>
      </c>
      <c r="D39" s="3">
        <f>57*11</f>
        <v>627</v>
      </c>
      <c r="E39" s="29"/>
      <c r="F39" s="5"/>
      <c r="G39" s="18"/>
      <c r="H39" s="5">
        <f>G39*D39</f>
        <v>0</v>
      </c>
      <c r="I39" s="5">
        <f t="shared" si="1"/>
        <v>0</v>
      </c>
    </row>
    <row r="40" spans="1:9" ht="20.25" customHeight="1">
      <c r="A40" s="93"/>
      <c r="B40" s="36" t="s">
        <v>248</v>
      </c>
      <c r="C40" s="93" t="s">
        <v>26</v>
      </c>
      <c r="D40" s="3">
        <f>D39*1.1</f>
        <v>689.7</v>
      </c>
      <c r="E40" s="29"/>
      <c r="F40" s="5">
        <f>E40*D40</f>
        <v>0</v>
      </c>
      <c r="G40" s="18"/>
      <c r="H40" s="5"/>
      <c r="I40" s="5">
        <f t="shared" si="1"/>
        <v>0</v>
      </c>
    </row>
    <row r="41" spans="1:9" ht="20.25" customHeight="1">
      <c r="A41" s="93"/>
      <c r="B41" s="36" t="s">
        <v>52</v>
      </c>
      <c r="C41" s="93" t="s">
        <v>50</v>
      </c>
      <c r="D41" s="3">
        <f>D39*7</f>
        <v>4389</v>
      </c>
      <c r="E41" s="18"/>
      <c r="F41" s="5">
        <f>E41*D41</f>
        <v>0</v>
      </c>
      <c r="G41" s="18"/>
      <c r="H41" s="5"/>
      <c r="I41" s="5">
        <f t="shared" si="1"/>
        <v>0</v>
      </c>
    </row>
    <row r="42" spans="1:9" ht="33" customHeight="1">
      <c r="A42" s="93"/>
      <c r="B42" s="36" t="s">
        <v>53</v>
      </c>
      <c r="C42" s="93" t="s">
        <v>54</v>
      </c>
      <c r="D42" s="4">
        <f>D39</f>
        <v>627</v>
      </c>
      <c r="E42" s="29"/>
      <c r="F42" s="5">
        <f>E42*D42</f>
        <v>0</v>
      </c>
      <c r="G42" s="18"/>
      <c r="H42" s="5"/>
      <c r="I42" s="5">
        <f t="shared" si="1"/>
        <v>0</v>
      </c>
    </row>
    <row r="43" spans="1:9" ht="48" customHeight="1">
      <c r="A43" s="136">
        <v>6</v>
      </c>
      <c r="B43" s="26" t="s">
        <v>393</v>
      </c>
      <c r="C43" s="136" t="s">
        <v>5</v>
      </c>
      <c r="D43" s="3">
        <v>4.6</v>
      </c>
      <c r="E43" s="29"/>
      <c r="F43" s="5"/>
      <c r="G43" s="18"/>
      <c r="H43" s="5">
        <f>G43*D43</f>
        <v>0</v>
      </c>
      <c r="I43" s="5">
        <f>F43+H43</f>
        <v>0</v>
      </c>
    </row>
    <row r="44" spans="1:9" ht="20.25" customHeight="1">
      <c r="A44" s="136"/>
      <c r="B44" s="36" t="s">
        <v>394</v>
      </c>
      <c r="C44" s="136" t="s">
        <v>26</v>
      </c>
      <c r="D44" s="3">
        <f>D43*1.1</f>
        <v>5.06</v>
      </c>
      <c r="E44" s="29"/>
      <c r="F44" s="5">
        <f>E44*D44</f>
        <v>0</v>
      </c>
      <c r="G44" s="18"/>
      <c r="H44" s="5"/>
      <c r="I44" s="5">
        <f>F44+H44</f>
        <v>0</v>
      </c>
    </row>
    <row r="45" spans="1:9" ht="20.25" customHeight="1">
      <c r="A45" s="136"/>
      <c r="B45" s="36" t="s">
        <v>52</v>
      </c>
      <c r="C45" s="136" t="s">
        <v>50</v>
      </c>
      <c r="D45" s="3">
        <f>D43*7</f>
        <v>32.199999999999996</v>
      </c>
      <c r="E45" s="18"/>
      <c r="F45" s="5">
        <f>E45*D45</f>
        <v>0</v>
      </c>
      <c r="G45" s="18"/>
      <c r="H45" s="5"/>
      <c r="I45" s="5">
        <f>F45+H45</f>
        <v>0</v>
      </c>
    </row>
    <row r="46" spans="1:9" ht="33" customHeight="1">
      <c r="A46" s="136"/>
      <c r="B46" s="36" t="s">
        <v>53</v>
      </c>
      <c r="C46" s="136" t="s">
        <v>54</v>
      </c>
      <c r="D46" s="4">
        <f>D43</f>
        <v>4.6</v>
      </c>
      <c r="E46" s="29"/>
      <c r="F46" s="5">
        <f>E46*D46</f>
        <v>0</v>
      </c>
      <c r="G46" s="18"/>
      <c r="H46" s="5"/>
      <c r="I46" s="5">
        <f>F46+H46</f>
        <v>0</v>
      </c>
    </row>
    <row r="47" spans="1:9" ht="37.5" customHeight="1">
      <c r="A47" s="76">
        <v>7</v>
      </c>
      <c r="B47" s="26" t="s">
        <v>357</v>
      </c>
      <c r="C47" s="76" t="s">
        <v>5</v>
      </c>
      <c r="D47" s="3">
        <v>728.4</v>
      </c>
      <c r="E47" s="29"/>
      <c r="F47" s="5"/>
      <c r="G47" s="18"/>
      <c r="H47" s="5">
        <f>G47*D47</f>
        <v>0</v>
      </c>
      <c r="I47" s="5">
        <f t="shared" si="1"/>
        <v>0</v>
      </c>
    </row>
    <row r="48" spans="1:9" ht="20.25" customHeight="1">
      <c r="A48" s="76"/>
      <c r="B48" s="36" t="s">
        <v>241</v>
      </c>
      <c r="C48" s="76" t="s">
        <v>26</v>
      </c>
      <c r="D48" s="3">
        <f>D47*1.1</f>
        <v>801.24</v>
      </c>
      <c r="E48" s="29"/>
      <c r="F48" s="5">
        <f>E48*D48</f>
        <v>0</v>
      </c>
      <c r="G48" s="18"/>
      <c r="H48" s="5"/>
      <c r="I48" s="5">
        <f t="shared" si="1"/>
        <v>0</v>
      </c>
    </row>
    <row r="49" spans="1:9" ht="20.25" customHeight="1">
      <c r="A49" s="76"/>
      <c r="B49" s="36" t="s">
        <v>52</v>
      </c>
      <c r="C49" s="76" t="s">
        <v>50</v>
      </c>
      <c r="D49" s="3">
        <f>D47*7</f>
        <v>5098.8</v>
      </c>
      <c r="E49" s="18"/>
      <c r="F49" s="5">
        <f>E49*D49</f>
        <v>0</v>
      </c>
      <c r="G49" s="18"/>
      <c r="H49" s="5"/>
      <c r="I49" s="5">
        <f t="shared" si="1"/>
        <v>0</v>
      </c>
    </row>
    <row r="50" spans="1:9" ht="33" customHeight="1">
      <c r="A50" s="76"/>
      <c r="B50" s="36" t="s">
        <v>53</v>
      </c>
      <c r="C50" s="76" t="s">
        <v>54</v>
      </c>
      <c r="D50" s="4">
        <f>D47</f>
        <v>728.4</v>
      </c>
      <c r="E50" s="29"/>
      <c r="F50" s="5">
        <f>E50*D50</f>
        <v>0</v>
      </c>
      <c r="G50" s="18"/>
      <c r="H50" s="5"/>
      <c r="I50" s="5">
        <f t="shared" si="1"/>
        <v>0</v>
      </c>
    </row>
    <row r="51" spans="1:9" ht="4.5" customHeight="1">
      <c r="A51" s="76"/>
      <c r="B51" s="36"/>
      <c r="C51" s="76"/>
      <c r="D51" s="3"/>
      <c r="E51" s="29"/>
      <c r="F51" s="5"/>
      <c r="G51" s="18"/>
      <c r="H51" s="5"/>
      <c r="I51" s="5"/>
    </row>
    <row r="52" spans="1:9" ht="27" customHeight="1">
      <c r="A52" s="76"/>
      <c r="B52" s="27" t="s">
        <v>16</v>
      </c>
      <c r="C52" s="76"/>
      <c r="D52" s="3"/>
      <c r="E52" s="4"/>
      <c r="F52" s="5">
        <f>SUM(F28:F51)</f>
        <v>0</v>
      </c>
      <c r="G52" s="4"/>
      <c r="H52" s="5">
        <f>SUM(H28:H51)</f>
        <v>0</v>
      </c>
      <c r="I52" s="5">
        <f>F52+H52</f>
        <v>0</v>
      </c>
    </row>
    <row r="53" spans="1:9" ht="27.75" customHeight="1">
      <c r="A53" s="153" t="s">
        <v>57</v>
      </c>
      <c r="B53" s="154"/>
      <c r="C53" s="154"/>
      <c r="D53" s="154"/>
      <c r="E53" s="154"/>
      <c r="F53" s="154"/>
      <c r="G53" s="154"/>
      <c r="H53" s="154"/>
      <c r="I53" s="155"/>
    </row>
    <row r="54" spans="1:9" ht="65.25" customHeight="1">
      <c r="A54" s="76">
        <v>1</v>
      </c>
      <c r="B54" s="26" t="s">
        <v>359</v>
      </c>
      <c r="C54" s="76" t="s">
        <v>5</v>
      </c>
      <c r="D54" s="4">
        <v>624</v>
      </c>
      <c r="E54" s="17"/>
      <c r="F54" s="5"/>
      <c r="G54" s="18"/>
      <c r="H54" s="5">
        <f>G54*D54</f>
        <v>0</v>
      </c>
      <c r="I54" s="5">
        <f aca="true" t="shared" si="2" ref="I54:I67">F54+H54</f>
        <v>0</v>
      </c>
    </row>
    <row r="55" spans="1:9" ht="22.5" customHeight="1">
      <c r="A55" s="49"/>
      <c r="B55" s="50" t="s">
        <v>216</v>
      </c>
      <c r="C55" s="49" t="s">
        <v>5</v>
      </c>
      <c r="D55" s="51">
        <f>D54</f>
        <v>624</v>
      </c>
      <c r="E55" s="52"/>
      <c r="F55" s="53">
        <f>E55*D55</f>
        <v>0</v>
      </c>
      <c r="G55" s="52"/>
      <c r="H55" s="53"/>
      <c r="I55" s="53">
        <f t="shared" si="2"/>
        <v>0</v>
      </c>
    </row>
    <row r="56" spans="1:9" ht="22.5" customHeight="1">
      <c r="A56" s="49"/>
      <c r="B56" s="50" t="s">
        <v>215</v>
      </c>
      <c r="C56" s="49" t="s">
        <v>5</v>
      </c>
      <c r="D56" s="51">
        <f>D54</f>
        <v>624</v>
      </c>
      <c r="E56" s="52"/>
      <c r="F56" s="53">
        <f>E56*D56</f>
        <v>0</v>
      </c>
      <c r="G56" s="52"/>
      <c r="H56" s="53"/>
      <c r="I56" s="53">
        <f t="shared" si="2"/>
        <v>0</v>
      </c>
    </row>
    <row r="57" spans="1:9" ht="41.25" customHeight="1">
      <c r="A57" s="93">
        <v>3</v>
      </c>
      <c r="B57" s="26" t="s">
        <v>242</v>
      </c>
      <c r="C57" s="93" t="s">
        <v>5</v>
      </c>
      <c r="D57" s="3">
        <v>854</v>
      </c>
      <c r="E57" s="29"/>
      <c r="F57" s="5"/>
      <c r="G57" s="18"/>
      <c r="H57" s="5">
        <f>G57*D57</f>
        <v>0</v>
      </c>
      <c r="I57" s="5">
        <f t="shared" si="2"/>
        <v>0</v>
      </c>
    </row>
    <row r="58" spans="1:9" ht="20.25" customHeight="1">
      <c r="A58" s="93"/>
      <c r="B58" s="36" t="s">
        <v>236</v>
      </c>
      <c r="C58" s="93" t="s">
        <v>12</v>
      </c>
      <c r="D58" s="4">
        <f>D57*0.04</f>
        <v>34.160000000000004</v>
      </c>
      <c r="E58" s="29"/>
      <c r="F58" s="5">
        <f>E58*D58</f>
        <v>0</v>
      </c>
      <c r="G58" s="18"/>
      <c r="H58" s="5"/>
      <c r="I58" s="5">
        <f t="shared" si="2"/>
        <v>0</v>
      </c>
    </row>
    <row r="59" spans="1:9" ht="42.75" customHeight="1">
      <c r="A59" s="136">
        <v>4</v>
      </c>
      <c r="B59" s="26" t="s">
        <v>391</v>
      </c>
      <c r="C59" s="136" t="s">
        <v>5</v>
      </c>
      <c r="D59" s="3">
        <f>98*12</f>
        <v>1176</v>
      </c>
      <c r="E59" s="18"/>
      <c r="F59" s="5"/>
      <c r="G59" s="18"/>
      <c r="H59" s="5">
        <f>G59*D59</f>
        <v>0</v>
      </c>
      <c r="I59" s="5">
        <f>F59+H59</f>
        <v>0</v>
      </c>
    </row>
    <row r="60" spans="1:9" ht="20.25" customHeight="1">
      <c r="A60" s="136"/>
      <c r="B60" s="36" t="s">
        <v>388</v>
      </c>
      <c r="C60" s="136" t="s">
        <v>5</v>
      </c>
      <c r="D60" s="3">
        <f>D59*1.05</f>
        <v>1234.8</v>
      </c>
      <c r="E60" s="18"/>
      <c r="F60" s="5">
        <f>E60*D60</f>
        <v>0</v>
      </c>
      <c r="G60" s="18"/>
      <c r="H60" s="5"/>
      <c r="I60" s="5">
        <f>F60+H60</f>
        <v>0</v>
      </c>
    </row>
    <row r="61" spans="1:9" ht="20.25" customHeight="1">
      <c r="A61" s="136"/>
      <c r="B61" s="36" t="s">
        <v>389</v>
      </c>
      <c r="C61" s="136" t="s">
        <v>5</v>
      </c>
      <c r="D61" s="3">
        <f>D59</f>
        <v>1176</v>
      </c>
      <c r="E61" s="18"/>
      <c r="F61" s="5">
        <f>E61*D61</f>
        <v>0</v>
      </c>
      <c r="G61" s="18"/>
      <c r="H61" s="5"/>
      <c r="I61" s="5">
        <f>F61+H61</f>
        <v>0</v>
      </c>
    </row>
    <row r="62" spans="1:9" ht="32.25" customHeight="1">
      <c r="A62" s="136"/>
      <c r="B62" s="36" t="s">
        <v>392</v>
      </c>
      <c r="C62" s="136" t="s">
        <v>6</v>
      </c>
      <c r="D62" s="3">
        <f>(23+1.5)*2*10</f>
        <v>490</v>
      </c>
      <c r="E62" s="18"/>
      <c r="F62" s="5">
        <f>E62*D62</f>
        <v>0</v>
      </c>
      <c r="G62" s="18"/>
      <c r="H62" s="5">
        <f>G62*D62</f>
        <v>0</v>
      </c>
      <c r="I62" s="5">
        <f>F62+H62</f>
        <v>0</v>
      </c>
    </row>
    <row r="63" spans="1:9" ht="31.5" customHeight="1">
      <c r="A63" s="136"/>
      <c r="B63" s="36" t="s">
        <v>390</v>
      </c>
      <c r="C63" s="136" t="s">
        <v>5</v>
      </c>
      <c r="D63" s="3">
        <f>D59</f>
        <v>1176</v>
      </c>
      <c r="E63" s="18"/>
      <c r="F63" s="5">
        <f>E63*D63</f>
        <v>0</v>
      </c>
      <c r="G63" s="18"/>
      <c r="H63" s="5"/>
      <c r="I63" s="5">
        <f>F63+H63</f>
        <v>0</v>
      </c>
    </row>
    <row r="64" spans="1:9" ht="48" customHeight="1">
      <c r="A64" s="93">
        <v>5</v>
      </c>
      <c r="B64" s="26" t="s">
        <v>387</v>
      </c>
      <c r="C64" s="93" t="s">
        <v>5</v>
      </c>
      <c r="D64" s="3">
        <f>D57+D59</f>
        <v>2030</v>
      </c>
      <c r="E64" s="18"/>
      <c r="F64" s="5"/>
      <c r="G64" s="18"/>
      <c r="H64" s="5">
        <f>G64*D64</f>
        <v>0</v>
      </c>
      <c r="I64" s="5">
        <f t="shared" si="2"/>
        <v>0</v>
      </c>
    </row>
    <row r="65" spans="1:9" ht="20.25" customHeight="1">
      <c r="A65" s="93"/>
      <c r="B65" s="36" t="s">
        <v>85</v>
      </c>
      <c r="C65" s="93" t="s">
        <v>50</v>
      </c>
      <c r="D65" s="3">
        <f>D64*1.1</f>
        <v>2233</v>
      </c>
      <c r="E65" s="29"/>
      <c r="F65" s="5">
        <f>E65*D65</f>
        <v>0</v>
      </c>
      <c r="G65" s="18"/>
      <c r="H65" s="5"/>
      <c r="I65" s="5">
        <f t="shared" si="2"/>
        <v>0</v>
      </c>
    </row>
    <row r="66" spans="1:9" ht="50.25" customHeight="1">
      <c r="A66" s="93">
        <v>6</v>
      </c>
      <c r="B66" s="26" t="s">
        <v>386</v>
      </c>
      <c r="C66" s="93" t="s">
        <v>5</v>
      </c>
      <c r="D66" s="3">
        <f>D64</f>
        <v>2030</v>
      </c>
      <c r="E66" s="29"/>
      <c r="F66" s="5"/>
      <c r="G66" s="18"/>
      <c r="H66" s="5">
        <f>G66*D66</f>
        <v>0</v>
      </c>
      <c r="I66" s="5">
        <f t="shared" si="2"/>
        <v>0</v>
      </c>
    </row>
    <row r="67" spans="1:9" ht="20.25" customHeight="1">
      <c r="A67" s="93"/>
      <c r="B67" s="36" t="s">
        <v>51</v>
      </c>
      <c r="C67" s="93" t="s">
        <v>26</v>
      </c>
      <c r="D67" s="4">
        <f>D66*1.05</f>
        <v>2131.5</v>
      </c>
      <c r="E67" s="29"/>
      <c r="F67" s="5">
        <f>E67*D67</f>
        <v>0</v>
      </c>
      <c r="G67" s="18"/>
      <c r="H67" s="5"/>
      <c r="I67" s="5">
        <f t="shared" si="2"/>
        <v>0</v>
      </c>
    </row>
    <row r="68" spans="1:9" ht="5.25" customHeight="1">
      <c r="A68" s="76"/>
      <c r="B68" s="36"/>
      <c r="C68" s="76"/>
      <c r="D68" s="4"/>
      <c r="E68" s="29"/>
      <c r="F68" s="5"/>
      <c r="G68" s="18"/>
      <c r="H68" s="5"/>
      <c r="I68" s="5"/>
    </row>
    <row r="69" spans="1:9" ht="27" customHeight="1">
      <c r="A69" s="76"/>
      <c r="B69" s="27" t="s">
        <v>17</v>
      </c>
      <c r="C69" s="76"/>
      <c r="D69" s="3"/>
      <c r="E69" s="4"/>
      <c r="F69" s="5">
        <f>SUM(F54:F68)</f>
        <v>0</v>
      </c>
      <c r="G69" s="4"/>
      <c r="H69" s="5">
        <f>SUM(H54:H68)</f>
        <v>0</v>
      </c>
      <c r="I69" s="5">
        <f>F69+H69</f>
        <v>0</v>
      </c>
    </row>
    <row r="70" spans="1:9" ht="26.25" customHeight="1">
      <c r="A70" s="153" t="s">
        <v>214</v>
      </c>
      <c r="B70" s="154"/>
      <c r="C70" s="154"/>
      <c r="D70" s="154"/>
      <c r="E70" s="154"/>
      <c r="F70" s="154"/>
      <c r="G70" s="154"/>
      <c r="H70" s="154"/>
      <c r="I70" s="155"/>
    </row>
    <row r="71" spans="1:12" ht="32.25" customHeight="1">
      <c r="A71" s="76">
        <v>1</v>
      </c>
      <c r="B71" s="26" t="s">
        <v>243</v>
      </c>
      <c r="C71" s="76" t="s">
        <v>5</v>
      </c>
      <c r="D71" s="4">
        <v>806.74</v>
      </c>
      <c r="E71" s="18"/>
      <c r="F71" s="5">
        <f>E71*D71</f>
        <v>0</v>
      </c>
      <c r="G71" s="18"/>
      <c r="H71" s="5"/>
      <c r="I71" s="5">
        <f aca="true" t="shared" si="3" ref="I71:I77">F71+H71</f>
        <v>0</v>
      </c>
      <c r="J71" s="21"/>
      <c r="K71" s="21"/>
      <c r="L71" s="1"/>
    </row>
    <row r="72" spans="1:12" ht="32.25" customHeight="1">
      <c r="A72" s="122">
        <v>2</v>
      </c>
      <c r="B72" s="26" t="s">
        <v>360</v>
      </c>
      <c r="C72" s="122" t="s">
        <v>5</v>
      </c>
      <c r="D72" s="4">
        <v>89.93</v>
      </c>
      <c r="E72" s="18"/>
      <c r="F72" s="5">
        <f>E72*D72</f>
        <v>0</v>
      </c>
      <c r="G72" s="18"/>
      <c r="H72" s="5"/>
      <c r="I72" s="5">
        <f>F72+H72</f>
        <v>0</v>
      </c>
      <c r="J72" s="21"/>
      <c r="K72" s="21"/>
      <c r="L72" s="1"/>
    </row>
    <row r="73" spans="1:12" ht="71.25" customHeight="1">
      <c r="A73" s="76">
        <v>2</v>
      </c>
      <c r="B73" s="26" t="s">
        <v>217</v>
      </c>
      <c r="C73" s="76" t="s">
        <v>5</v>
      </c>
      <c r="D73" s="4">
        <f>99*2.1</f>
        <v>207.9</v>
      </c>
      <c r="E73" s="18"/>
      <c r="F73" s="5"/>
      <c r="G73" s="18"/>
      <c r="H73" s="5">
        <f>G73*D73</f>
        <v>0</v>
      </c>
      <c r="I73" s="5">
        <f t="shared" si="3"/>
        <v>0</v>
      </c>
      <c r="J73" s="21"/>
      <c r="K73" s="21"/>
      <c r="L73" s="1"/>
    </row>
    <row r="74" spans="1:12" ht="21.75" customHeight="1">
      <c r="A74" s="76"/>
      <c r="B74" s="26" t="s">
        <v>108</v>
      </c>
      <c r="C74" s="76" t="s">
        <v>5</v>
      </c>
      <c r="D74" s="4">
        <f>D73</f>
        <v>207.9</v>
      </c>
      <c r="E74" s="29"/>
      <c r="F74" s="5">
        <f>E74*D74</f>
        <v>0</v>
      </c>
      <c r="G74" s="18"/>
      <c r="H74" s="5"/>
      <c r="I74" s="5">
        <f t="shared" si="3"/>
        <v>0</v>
      </c>
      <c r="J74" s="21"/>
      <c r="K74" s="21"/>
      <c r="L74" s="1"/>
    </row>
    <row r="75" spans="1:12" ht="21.75" customHeight="1">
      <c r="A75" s="76"/>
      <c r="B75" s="26" t="s">
        <v>92</v>
      </c>
      <c r="C75" s="76" t="s">
        <v>32</v>
      </c>
      <c r="D75" s="4">
        <v>81</v>
      </c>
      <c r="E75" s="29"/>
      <c r="F75" s="5">
        <f>E75*D75</f>
        <v>0</v>
      </c>
      <c r="G75" s="18"/>
      <c r="H75" s="5"/>
      <c r="I75" s="5">
        <f t="shared" si="3"/>
        <v>0</v>
      </c>
      <c r="J75" s="21"/>
      <c r="K75" s="21"/>
      <c r="L75" s="1"/>
    </row>
    <row r="76" spans="1:12" ht="36.75" customHeight="1">
      <c r="A76" s="76"/>
      <c r="B76" s="26" t="s">
        <v>58</v>
      </c>
      <c r="C76" s="76" t="s">
        <v>5</v>
      </c>
      <c r="D76" s="4">
        <f>D73*2.5</f>
        <v>519.75</v>
      </c>
      <c r="E76" s="29"/>
      <c r="F76" s="5">
        <f>E76*D76</f>
        <v>0</v>
      </c>
      <c r="G76" s="18"/>
      <c r="H76" s="5"/>
      <c r="I76" s="5">
        <f t="shared" si="3"/>
        <v>0</v>
      </c>
      <c r="J76" s="21"/>
      <c r="K76" s="21"/>
      <c r="L76" s="1"/>
    </row>
    <row r="77" spans="1:12" ht="33" customHeight="1">
      <c r="A77" s="76">
        <v>3</v>
      </c>
      <c r="B77" s="26" t="s">
        <v>244</v>
      </c>
      <c r="C77" s="93" t="s">
        <v>103</v>
      </c>
      <c r="D77" s="4">
        <v>46</v>
      </c>
      <c r="E77" s="29"/>
      <c r="F77" s="5">
        <f>E77*D77</f>
        <v>0</v>
      </c>
      <c r="G77" s="18"/>
      <c r="H77" s="5"/>
      <c r="I77" s="5">
        <f t="shared" si="3"/>
        <v>0</v>
      </c>
      <c r="J77" s="21"/>
      <c r="K77" s="21"/>
      <c r="L77" s="1"/>
    </row>
    <row r="78" spans="1:9" ht="4.5" customHeight="1">
      <c r="A78" s="93"/>
      <c r="B78" s="36"/>
      <c r="C78" s="93"/>
      <c r="D78" s="4"/>
      <c r="E78" s="29"/>
      <c r="F78" s="5"/>
      <c r="G78" s="18"/>
      <c r="H78" s="5"/>
      <c r="I78" s="5"/>
    </row>
    <row r="79" spans="1:9" ht="37.5" customHeight="1">
      <c r="A79" s="93">
        <v>4</v>
      </c>
      <c r="B79" s="36" t="s">
        <v>361</v>
      </c>
      <c r="C79" s="93" t="s">
        <v>238</v>
      </c>
      <c r="D79" s="42">
        <f>4*6*30</f>
        <v>720</v>
      </c>
      <c r="E79" s="40"/>
      <c r="F79" s="41"/>
      <c r="G79" s="40"/>
      <c r="H79" s="41"/>
      <c r="I79" s="64">
        <f>F79+H79</f>
        <v>0</v>
      </c>
    </row>
    <row r="80" spans="1:9" ht="4.5" customHeight="1">
      <c r="A80" s="76"/>
      <c r="B80" s="36"/>
      <c r="C80" s="76"/>
      <c r="D80" s="4"/>
      <c r="E80" s="29"/>
      <c r="F80" s="5"/>
      <c r="G80" s="18"/>
      <c r="H80" s="5"/>
      <c r="I80" s="5"/>
    </row>
    <row r="81" spans="1:9" ht="27" customHeight="1">
      <c r="A81" s="76"/>
      <c r="B81" s="27" t="s">
        <v>59</v>
      </c>
      <c r="C81" s="76"/>
      <c r="D81" s="3"/>
      <c r="E81" s="4"/>
      <c r="F81" s="5">
        <f>SUM(F71:F80)</f>
        <v>0</v>
      </c>
      <c r="G81" s="4"/>
      <c r="H81" s="5">
        <f>SUM(H71:H80)</f>
        <v>0</v>
      </c>
      <c r="I81" s="5">
        <f>F81+H81</f>
        <v>0</v>
      </c>
    </row>
    <row r="82" spans="1:9" ht="4.5" customHeight="1">
      <c r="A82" s="166"/>
      <c r="B82" s="167"/>
      <c r="C82" s="167"/>
      <c r="D82" s="167"/>
      <c r="E82" s="167"/>
      <c r="F82" s="167"/>
      <c r="G82" s="167"/>
      <c r="H82" s="167"/>
      <c r="I82" s="168"/>
    </row>
    <row r="83" spans="1:9" ht="29.25" customHeight="1">
      <c r="A83" s="63"/>
      <c r="B83" s="27" t="s">
        <v>135</v>
      </c>
      <c r="C83" s="63"/>
      <c r="D83" s="3"/>
      <c r="E83" s="4"/>
      <c r="F83" s="5">
        <f>F26+F52+F69+F81</f>
        <v>0</v>
      </c>
      <c r="G83" s="4"/>
      <c r="H83" s="5">
        <f>H26+H52+H69+H81</f>
        <v>0</v>
      </c>
      <c r="I83" s="5">
        <f>F83+H83</f>
        <v>0</v>
      </c>
    </row>
    <row r="84" spans="1:9" ht="33.75" customHeight="1">
      <c r="A84" s="91"/>
      <c r="B84" s="28" t="s">
        <v>147</v>
      </c>
      <c r="C84" s="22">
        <v>0</v>
      </c>
      <c r="D84" s="3"/>
      <c r="E84" s="4"/>
      <c r="F84" s="5"/>
      <c r="G84" s="4"/>
      <c r="H84" s="23"/>
      <c r="I84" s="5">
        <f>F83*C84</f>
        <v>0</v>
      </c>
    </row>
    <row r="85" spans="1:9" ht="25.5" customHeight="1">
      <c r="A85" s="91"/>
      <c r="B85" s="28" t="s">
        <v>13</v>
      </c>
      <c r="C85" s="91"/>
      <c r="D85" s="3"/>
      <c r="E85" s="4"/>
      <c r="F85" s="5"/>
      <c r="G85" s="4"/>
      <c r="H85" s="23"/>
      <c r="I85" s="5">
        <f>I83+I84</f>
        <v>0</v>
      </c>
    </row>
    <row r="86" spans="1:9" ht="25.5" customHeight="1">
      <c r="A86" s="91"/>
      <c r="B86" s="28" t="s">
        <v>146</v>
      </c>
      <c r="C86" s="22">
        <v>0</v>
      </c>
      <c r="D86" s="3"/>
      <c r="E86" s="4"/>
      <c r="F86" s="5"/>
      <c r="G86" s="4"/>
      <c r="H86" s="23"/>
      <c r="I86" s="5">
        <f>I85*C86</f>
        <v>0</v>
      </c>
    </row>
    <row r="87" spans="1:9" ht="25.5" customHeight="1">
      <c r="A87" s="91"/>
      <c r="B87" s="28" t="s">
        <v>13</v>
      </c>
      <c r="C87" s="91"/>
      <c r="D87" s="3"/>
      <c r="E87" s="4"/>
      <c r="F87" s="5"/>
      <c r="G87" s="4"/>
      <c r="H87" s="23"/>
      <c r="I87" s="5">
        <f>I85+I86</f>
        <v>0</v>
      </c>
    </row>
    <row r="88" spans="1:9" ht="25.5" customHeight="1">
      <c r="A88" s="91"/>
      <c r="B88" s="28" t="s">
        <v>93</v>
      </c>
      <c r="C88" s="24">
        <v>0</v>
      </c>
      <c r="D88" s="3"/>
      <c r="E88" s="4"/>
      <c r="F88" s="5"/>
      <c r="G88" s="4"/>
      <c r="H88" s="23"/>
      <c r="I88" s="5">
        <f>I87*C88</f>
        <v>0</v>
      </c>
    </row>
    <row r="89" spans="1:9" ht="25.5" customHeight="1">
      <c r="A89" s="91"/>
      <c r="B89" s="28" t="s">
        <v>2</v>
      </c>
      <c r="C89" s="91"/>
      <c r="D89" s="3"/>
      <c r="E89" s="4"/>
      <c r="F89" s="5"/>
      <c r="G89" s="4"/>
      <c r="H89" s="23"/>
      <c r="I89" s="5">
        <f>I88+I87</f>
        <v>0</v>
      </c>
    </row>
    <row r="90" spans="1:9" ht="25.5" customHeight="1">
      <c r="A90" s="91"/>
      <c r="B90" s="28" t="s">
        <v>94</v>
      </c>
      <c r="C90" s="24">
        <v>0</v>
      </c>
      <c r="D90" s="3"/>
      <c r="E90" s="4"/>
      <c r="F90" s="5"/>
      <c r="G90" s="4"/>
      <c r="H90" s="23"/>
      <c r="I90" s="5">
        <f>I89*C90</f>
        <v>0</v>
      </c>
    </row>
    <row r="91" spans="1:9" ht="25.5" customHeight="1">
      <c r="A91" s="91"/>
      <c r="B91" s="28" t="s">
        <v>2</v>
      </c>
      <c r="C91" s="91"/>
      <c r="D91" s="3"/>
      <c r="E91" s="4"/>
      <c r="F91" s="5"/>
      <c r="G91" s="4"/>
      <c r="H91" s="23"/>
      <c r="I91" s="5">
        <f>I90+I89</f>
        <v>0</v>
      </c>
    </row>
    <row r="92" spans="1:9" ht="25.5" customHeight="1">
      <c r="A92" s="91"/>
      <c r="B92" s="28" t="s">
        <v>95</v>
      </c>
      <c r="C92" s="24">
        <v>0.18</v>
      </c>
      <c r="D92" s="3"/>
      <c r="E92" s="4"/>
      <c r="F92" s="5"/>
      <c r="G92" s="4"/>
      <c r="H92" s="23"/>
      <c r="I92" s="5">
        <f>I91*C92</f>
        <v>0</v>
      </c>
    </row>
    <row r="93" spans="1:9" ht="25.5" customHeight="1">
      <c r="A93" s="91"/>
      <c r="B93" s="28" t="s">
        <v>35</v>
      </c>
      <c r="C93" s="91"/>
      <c r="D93" s="3"/>
      <c r="E93" s="4"/>
      <c r="F93" s="5"/>
      <c r="G93" s="4"/>
      <c r="H93" s="23"/>
      <c r="I93" s="5">
        <f>I92+I91</f>
        <v>0</v>
      </c>
    </row>
    <row r="94" spans="1:9" ht="15">
      <c r="A94" s="19"/>
      <c r="B94" s="20"/>
      <c r="C94" s="16"/>
      <c r="D94" s="21"/>
      <c r="E94" s="35"/>
      <c r="F94" s="21"/>
      <c r="G94" s="35"/>
      <c r="H94" s="21"/>
      <c r="I94" s="21"/>
    </row>
    <row r="95" spans="1:9" ht="14.25">
      <c r="A95" s="19"/>
      <c r="B95" s="16"/>
      <c r="C95" s="16"/>
      <c r="D95" s="21"/>
      <c r="E95" s="35"/>
      <c r="F95" s="21"/>
      <c r="G95" s="35"/>
      <c r="H95" s="21"/>
      <c r="I95" s="21"/>
    </row>
    <row r="96" spans="1:9" ht="14.25">
      <c r="A96" s="19"/>
      <c r="B96" s="16"/>
      <c r="C96" s="16"/>
      <c r="D96" s="21"/>
      <c r="E96" s="35"/>
      <c r="F96" s="21"/>
      <c r="G96" s="35"/>
      <c r="H96" s="21"/>
      <c r="I96" s="21"/>
    </row>
  </sheetData>
  <sheetProtection/>
  <mergeCells count="17">
    <mergeCell ref="A70:I70"/>
    <mergeCell ref="A82:I82"/>
    <mergeCell ref="G6:H6"/>
    <mergeCell ref="I6:I7"/>
    <mergeCell ref="A9:I9"/>
    <mergeCell ref="A27:I27"/>
    <mergeCell ref="A53:I53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F6"/>
  </mergeCells>
  <printOptions/>
  <pageMargins left="0.25" right="0.25" top="0.25" bottom="0.2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87"/>
  <sheetViews>
    <sheetView zoomScaleSheetLayoutView="100" zoomScalePageLayoutView="0" workbookViewId="0" topLeftCell="A73">
      <selection activeCell="C87" sqref="C87"/>
    </sheetView>
  </sheetViews>
  <sheetFormatPr defaultColWidth="9.140625" defaultRowHeight="12.75"/>
  <cols>
    <col min="1" max="1" width="3.57421875" style="1" customWidth="1"/>
    <col min="2" max="2" width="37.57421875" style="1" customWidth="1"/>
    <col min="3" max="3" width="5.7109375" style="1" customWidth="1"/>
    <col min="4" max="4" width="6.8515625" style="1" customWidth="1"/>
    <col min="5" max="5" width="8.28125" style="1" customWidth="1"/>
    <col min="6" max="6" width="9.7109375" style="1" customWidth="1"/>
    <col min="7" max="7" width="8.2812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72</v>
      </c>
      <c r="B3" s="158"/>
      <c r="C3" s="158"/>
      <c r="D3" s="158"/>
      <c r="E3" s="158"/>
      <c r="F3" s="158"/>
      <c r="G3" s="158"/>
      <c r="H3" s="158"/>
      <c r="I3" s="158"/>
    </row>
    <row r="4" spans="1:9" ht="21" customHeight="1">
      <c r="A4" s="158" t="s">
        <v>134</v>
      </c>
      <c r="B4" s="158"/>
      <c r="C4" s="158"/>
      <c r="D4" s="158"/>
      <c r="E4" s="158"/>
      <c r="F4" s="158"/>
      <c r="G4" s="158"/>
      <c r="H4" s="158"/>
      <c r="I4" s="158"/>
    </row>
    <row r="5" spans="1:9" ht="7.5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8.7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68" t="s">
        <v>9</v>
      </c>
      <c r="F7" s="68" t="s">
        <v>1</v>
      </c>
      <c r="G7" s="68" t="s">
        <v>9</v>
      </c>
      <c r="H7" s="68" t="s">
        <v>1</v>
      </c>
      <c r="I7" s="162"/>
    </row>
    <row r="8" spans="1:9" ht="14.2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</row>
    <row r="9" spans="1:9" ht="21.75" customHeight="1">
      <c r="A9" s="153" t="s">
        <v>70</v>
      </c>
      <c r="B9" s="154"/>
      <c r="C9" s="154"/>
      <c r="D9" s="154"/>
      <c r="E9" s="154"/>
      <c r="F9" s="154"/>
      <c r="G9" s="154"/>
      <c r="H9" s="154"/>
      <c r="I9" s="155"/>
    </row>
    <row r="10" spans="1:9" ht="40.5" customHeight="1">
      <c r="A10" s="69">
        <v>1</v>
      </c>
      <c r="B10" s="169" t="s">
        <v>265</v>
      </c>
      <c r="C10" s="170"/>
      <c r="D10" s="171"/>
      <c r="E10" s="18"/>
      <c r="F10" s="5"/>
      <c r="G10" s="77"/>
      <c r="H10" s="78"/>
      <c r="I10" s="78"/>
    </row>
    <row r="11" spans="1:9" ht="18.75" customHeight="1">
      <c r="A11" s="69">
        <v>2</v>
      </c>
      <c r="B11" s="15" t="s">
        <v>266</v>
      </c>
      <c r="C11" s="115" t="s">
        <v>48</v>
      </c>
      <c r="D11" s="119">
        <v>160</v>
      </c>
      <c r="E11" s="77"/>
      <c r="F11" s="78"/>
      <c r="G11" s="77"/>
      <c r="H11" s="78">
        <f>G11*D11</f>
        <v>0</v>
      </c>
      <c r="I11" s="78">
        <f>F11+H11</f>
        <v>0</v>
      </c>
    </row>
    <row r="12" spans="1:9" ht="33.75" customHeight="1">
      <c r="A12" s="105">
        <v>3</v>
      </c>
      <c r="B12" s="15" t="s">
        <v>267</v>
      </c>
      <c r="C12" s="115" t="s">
        <v>6</v>
      </c>
      <c r="D12" s="119">
        <f>D13+D20+D21+D22+D23+D24+D25+D29+D30+D31+D32+D33+D34+D35+D36+D42</f>
        <v>5252</v>
      </c>
      <c r="E12" s="18"/>
      <c r="F12" s="5"/>
      <c r="G12" s="77"/>
      <c r="H12" s="78">
        <f>G12*D12</f>
        <v>0</v>
      </c>
      <c r="I12" s="78">
        <f>F12+H12</f>
        <v>0</v>
      </c>
    </row>
    <row r="13" spans="1:9" ht="16.5" customHeight="1">
      <c r="A13" s="105">
        <v>4</v>
      </c>
      <c r="B13" s="15" t="s">
        <v>268</v>
      </c>
      <c r="C13" s="115" t="s">
        <v>6</v>
      </c>
      <c r="D13" s="120">
        <v>220</v>
      </c>
      <c r="E13" s="117"/>
      <c r="F13" s="78">
        <f>E13*D13</f>
        <v>0</v>
      </c>
      <c r="G13" s="77"/>
      <c r="H13" s="78"/>
      <c r="I13" s="78">
        <f>F13+H13</f>
        <v>0</v>
      </c>
    </row>
    <row r="14" spans="1:9" ht="33.75" customHeight="1">
      <c r="A14" s="105">
        <v>5</v>
      </c>
      <c r="B14" s="15" t="s">
        <v>269</v>
      </c>
      <c r="C14" s="115" t="s">
        <v>6</v>
      </c>
      <c r="D14" s="120">
        <v>60</v>
      </c>
      <c r="E14" s="117"/>
      <c r="F14" s="78">
        <f>E14*D14</f>
        <v>0</v>
      </c>
      <c r="G14" s="77"/>
      <c r="H14" s="78"/>
      <c r="I14" s="78">
        <f>F14+H14</f>
        <v>0</v>
      </c>
    </row>
    <row r="15" spans="1:9" ht="24.75" customHeight="1">
      <c r="A15" s="105">
        <v>6</v>
      </c>
      <c r="B15" s="15" t="s">
        <v>270</v>
      </c>
      <c r="C15" s="115" t="s">
        <v>42</v>
      </c>
      <c r="D15" s="120">
        <v>50</v>
      </c>
      <c r="E15" s="117"/>
      <c r="F15" s="78">
        <f aca="true" t="shared" si="0" ref="F15:F43">E15*D15</f>
        <v>0</v>
      </c>
      <c r="G15" s="77"/>
      <c r="H15" s="78"/>
      <c r="I15" s="78">
        <f aca="true" t="shared" si="1" ref="I15:I43">F15+H15</f>
        <v>0</v>
      </c>
    </row>
    <row r="16" spans="1:9" ht="24.75" customHeight="1">
      <c r="A16" s="105">
        <v>7</v>
      </c>
      <c r="B16" s="15" t="s">
        <v>271</v>
      </c>
      <c r="C16" s="115" t="s">
        <v>42</v>
      </c>
      <c r="D16" s="120">
        <v>30</v>
      </c>
      <c r="E16" s="117"/>
      <c r="F16" s="78">
        <f t="shared" si="0"/>
        <v>0</v>
      </c>
      <c r="G16" s="77"/>
      <c r="H16" s="78"/>
      <c r="I16" s="78">
        <f t="shared" si="1"/>
        <v>0</v>
      </c>
    </row>
    <row r="17" spans="1:9" ht="37.5" customHeight="1">
      <c r="A17" s="105">
        <v>8</v>
      </c>
      <c r="B17" s="15" t="s">
        <v>272</v>
      </c>
      <c r="C17" s="115" t="s">
        <v>42</v>
      </c>
      <c r="D17" s="120">
        <v>9</v>
      </c>
      <c r="E17" s="117"/>
      <c r="F17" s="78">
        <f t="shared" si="0"/>
        <v>0</v>
      </c>
      <c r="G17" s="77"/>
      <c r="H17" s="78"/>
      <c r="I17" s="78">
        <f t="shared" si="1"/>
        <v>0</v>
      </c>
    </row>
    <row r="18" spans="1:9" ht="23.25" customHeight="1">
      <c r="A18" s="105">
        <v>9</v>
      </c>
      <c r="B18" s="15" t="s">
        <v>273</v>
      </c>
      <c r="C18" s="115" t="s">
        <v>42</v>
      </c>
      <c r="D18" s="120">
        <v>2</v>
      </c>
      <c r="E18" s="117"/>
      <c r="F18" s="78">
        <f t="shared" si="0"/>
        <v>0</v>
      </c>
      <c r="G18" s="77"/>
      <c r="H18" s="78"/>
      <c r="I18" s="78">
        <f t="shared" si="1"/>
        <v>0</v>
      </c>
    </row>
    <row r="19" spans="1:9" ht="23.25" customHeight="1">
      <c r="A19" s="105">
        <v>10</v>
      </c>
      <c r="B19" s="15" t="s">
        <v>274</v>
      </c>
      <c r="C19" s="115" t="s">
        <v>6</v>
      </c>
      <c r="D19" s="120">
        <v>420</v>
      </c>
      <c r="E19" s="117"/>
      <c r="F19" s="78">
        <f t="shared" si="0"/>
        <v>0</v>
      </c>
      <c r="G19" s="77"/>
      <c r="H19" s="78"/>
      <c r="I19" s="78">
        <f t="shared" si="1"/>
        <v>0</v>
      </c>
    </row>
    <row r="20" spans="1:9" ht="23.25" customHeight="1">
      <c r="A20" s="105">
        <v>11</v>
      </c>
      <c r="B20" s="114" t="s">
        <v>275</v>
      </c>
      <c r="C20" s="115" t="s">
        <v>6</v>
      </c>
      <c r="D20" s="120">
        <v>780</v>
      </c>
      <c r="E20" s="117"/>
      <c r="F20" s="78">
        <f t="shared" si="0"/>
        <v>0</v>
      </c>
      <c r="G20" s="77"/>
      <c r="H20" s="78"/>
      <c r="I20" s="78">
        <f t="shared" si="1"/>
        <v>0</v>
      </c>
    </row>
    <row r="21" spans="1:9" ht="23.25" customHeight="1">
      <c r="A21" s="105">
        <v>12</v>
      </c>
      <c r="B21" s="114" t="s">
        <v>276</v>
      </c>
      <c r="C21" s="115" t="s">
        <v>6</v>
      </c>
      <c r="D21" s="121">
        <v>100</v>
      </c>
      <c r="E21" s="117"/>
      <c r="F21" s="78">
        <f t="shared" si="0"/>
        <v>0</v>
      </c>
      <c r="G21" s="77"/>
      <c r="H21" s="78"/>
      <c r="I21" s="78">
        <f t="shared" si="1"/>
        <v>0</v>
      </c>
    </row>
    <row r="22" spans="1:9" ht="23.25" customHeight="1">
      <c r="A22" s="105">
        <v>13</v>
      </c>
      <c r="B22" s="114" t="s">
        <v>277</v>
      </c>
      <c r="C22" s="115" t="s">
        <v>6</v>
      </c>
      <c r="D22" s="121">
        <v>100</v>
      </c>
      <c r="E22" s="117"/>
      <c r="F22" s="78">
        <f t="shared" si="0"/>
        <v>0</v>
      </c>
      <c r="G22" s="77"/>
      <c r="H22" s="78"/>
      <c r="I22" s="78">
        <f t="shared" si="1"/>
        <v>0</v>
      </c>
    </row>
    <row r="23" spans="1:9" ht="25.5" customHeight="1">
      <c r="A23" s="105">
        <v>14</v>
      </c>
      <c r="B23" s="114" t="s">
        <v>278</v>
      </c>
      <c r="C23" s="115" t="s">
        <v>6</v>
      </c>
      <c r="D23" s="121">
        <v>750</v>
      </c>
      <c r="E23" s="117"/>
      <c r="F23" s="78">
        <f t="shared" si="0"/>
        <v>0</v>
      </c>
      <c r="G23" s="77"/>
      <c r="H23" s="78"/>
      <c r="I23" s="78">
        <f t="shared" si="1"/>
        <v>0</v>
      </c>
    </row>
    <row r="24" spans="1:9" ht="24" customHeight="1">
      <c r="A24" s="105">
        <v>15</v>
      </c>
      <c r="B24" s="114" t="s">
        <v>279</v>
      </c>
      <c r="C24" s="115" t="s">
        <v>6</v>
      </c>
      <c r="D24" s="121">
        <v>750</v>
      </c>
      <c r="E24" s="117"/>
      <c r="F24" s="78">
        <f t="shared" si="0"/>
        <v>0</v>
      </c>
      <c r="G24" s="77"/>
      <c r="H24" s="78"/>
      <c r="I24" s="78">
        <f t="shared" si="1"/>
        <v>0</v>
      </c>
    </row>
    <row r="25" spans="1:9" ht="24" customHeight="1">
      <c r="A25" s="105">
        <v>16</v>
      </c>
      <c r="B25" s="114" t="s">
        <v>280</v>
      </c>
      <c r="C25" s="115" t="s">
        <v>6</v>
      </c>
      <c r="D25" s="121">
        <v>120</v>
      </c>
      <c r="E25" s="117"/>
      <c r="F25" s="78">
        <f t="shared" si="0"/>
        <v>0</v>
      </c>
      <c r="G25" s="77"/>
      <c r="H25" s="78"/>
      <c r="I25" s="78">
        <f t="shared" si="1"/>
        <v>0</v>
      </c>
    </row>
    <row r="26" spans="1:9" ht="24" customHeight="1">
      <c r="A26" s="105">
        <v>17</v>
      </c>
      <c r="B26" s="114" t="s">
        <v>281</v>
      </c>
      <c r="C26" s="115" t="s">
        <v>294</v>
      </c>
      <c r="D26" s="120">
        <v>20</v>
      </c>
      <c r="E26" s="117"/>
      <c r="F26" s="78">
        <f t="shared" si="0"/>
        <v>0</v>
      </c>
      <c r="G26" s="77"/>
      <c r="H26" s="78"/>
      <c r="I26" s="78">
        <f t="shared" si="1"/>
        <v>0</v>
      </c>
    </row>
    <row r="27" spans="1:9" ht="24" customHeight="1">
      <c r="A27" s="105">
        <v>18</v>
      </c>
      <c r="B27" s="114" t="s">
        <v>282</v>
      </c>
      <c r="C27" s="116" t="s">
        <v>103</v>
      </c>
      <c r="D27" s="118">
        <v>500</v>
      </c>
      <c r="E27" s="117"/>
      <c r="F27" s="78">
        <f t="shared" si="0"/>
        <v>0</v>
      </c>
      <c r="G27" s="77"/>
      <c r="H27" s="78"/>
      <c r="I27" s="78">
        <f t="shared" si="1"/>
        <v>0</v>
      </c>
    </row>
    <row r="28" spans="1:9" ht="24" customHeight="1">
      <c r="A28" s="105">
        <v>19</v>
      </c>
      <c r="B28" s="114" t="s">
        <v>283</v>
      </c>
      <c r="C28" s="116" t="s">
        <v>103</v>
      </c>
      <c r="D28" s="118">
        <v>42</v>
      </c>
      <c r="E28" s="117"/>
      <c r="F28" s="78">
        <f t="shared" si="0"/>
        <v>0</v>
      </c>
      <c r="G28" s="77"/>
      <c r="H28" s="78"/>
      <c r="I28" s="78">
        <f t="shared" si="1"/>
        <v>0</v>
      </c>
    </row>
    <row r="29" spans="1:9" ht="25.5" customHeight="1">
      <c r="A29" s="105">
        <v>20</v>
      </c>
      <c r="B29" s="114" t="s">
        <v>284</v>
      </c>
      <c r="C29" s="116" t="s">
        <v>295</v>
      </c>
      <c r="D29" s="118">
        <v>60</v>
      </c>
      <c r="E29" s="117"/>
      <c r="F29" s="78">
        <f t="shared" si="0"/>
        <v>0</v>
      </c>
      <c r="G29" s="77"/>
      <c r="H29" s="78"/>
      <c r="I29" s="78">
        <f t="shared" si="1"/>
        <v>0</v>
      </c>
    </row>
    <row r="30" spans="1:9" ht="25.5" customHeight="1">
      <c r="A30" s="105">
        <v>21</v>
      </c>
      <c r="B30" s="114" t="s">
        <v>285</v>
      </c>
      <c r="C30" s="116" t="s">
        <v>295</v>
      </c>
      <c r="D30" s="118">
        <v>60</v>
      </c>
      <c r="E30" s="117"/>
      <c r="F30" s="78">
        <f t="shared" si="0"/>
        <v>0</v>
      </c>
      <c r="G30" s="77"/>
      <c r="H30" s="78"/>
      <c r="I30" s="78">
        <f t="shared" si="1"/>
        <v>0</v>
      </c>
    </row>
    <row r="31" spans="1:9" ht="25.5" customHeight="1">
      <c r="A31" s="105">
        <v>22</v>
      </c>
      <c r="B31" s="114" t="s">
        <v>275</v>
      </c>
      <c r="C31" s="116" t="s">
        <v>295</v>
      </c>
      <c r="D31" s="118">
        <v>80</v>
      </c>
      <c r="E31" s="117"/>
      <c r="F31" s="78">
        <f t="shared" si="0"/>
        <v>0</v>
      </c>
      <c r="G31" s="77"/>
      <c r="H31" s="78"/>
      <c r="I31" s="78">
        <f t="shared" si="1"/>
        <v>0</v>
      </c>
    </row>
    <row r="32" spans="1:9" ht="25.5" customHeight="1">
      <c r="A32" s="105">
        <v>23</v>
      </c>
      <c r="B32" s="114" t="s">
        <v>275</v>
      </c>
      <c r="C32" s="116" t="s">
        <v>295</v>
      </c>
      <c r="D32" s="118">
        <v>350</v>
      </c>
      <c r="E32" s="117"/>
      <c r="F32" s="78">
        <f t="shared" si="0"/>
        <v>0</v>
      </c>
      <c r="G32" s="77"/>
      <c r="H32" s="78"/>
      <c r="I32" s="78">
        <f t="shared" si="1"/>
        <v>0</v>
      </c>
    </row>
    <row r="33" spans="1:9" ht="25.5" customHeight="1">
      <c r="A33" s="105">
        <v>24</v>
      </c>
      <c r="B33" s="114" t="s">
        <v>275</v>
      </c>
      <c r="C33" s="116" t="s">
        <v>295</v>
      </c>
      <c r="D33" s="118">
        <v>1500</v>
      </c>
      <c r="E33" s="117"/>
      <c r="F33" s="78">
        <f t="shared" si="0"/>
        <v>0</v>
      </c>
      <c r="G33" s="77"/>
      <c r="H33" s="78"/>
      <c r="I33" s="78">
        <f t="shared" si="1"/>
        <v>0</v>
      </c>
    </row>
    <row r="34" spans="1:9" ht="25.5" customHeight="1">
      <c r="A34" s="105">
        <v>25</v>
      </c>
      <c r="B34" s="114" t="s">
        <v>286</v>
      </c>
      <c r="C34" s="116" t="s">
        <v>295</v>
      </c>
      <c r="D34" s="118">
        <v>50</v>
      </c>
      <c r="E34" s="117"/>
      <c r="F34" s="78">
        <f t="shared" si="0"/>
        <v>0</v>
      </c>
      <c r="G34" s="77"/>
      <c r="H34" s="78"/>
      <c r="I34" s="78">
        <f t="shared" si="1"/>
        <v>0</v>
      </c>
    </row>
    <row r="35" spans="1:9" ht="25.5" customHeight="1">
      <c r="A35" s="105">
        <v>26</v>
      </c>
      <c r="B35" s="114" t="s">
        <v>287</v>
      </c>
      <c r="C35" s="116" t="s">
        <v>295</v>
      </c>
      <c r="D35" s="118">
        <v>220</v>
      </c>
      <c r="E35" s="117"/>
      <c r="F35" s="78">
        <f t="shared" si="0"/>
        <v>0</v>
      </c>
      <c r="G35" s="77"/>
      <c r="H35" s="78"/>
      <c r="I35" s="78">
        <f t="shared" si="1"/>
        <v>0</v>
      </c>
    </row>
    <row r="36" spans="1:9" ht="25.5" customHeight="1">
      <c r="A36" s="105">
        <v>27</v>
      </c>
      <c r="B36" s="114" t="s">
        <v>288</v>
      </c>
      <c r="C36" s="116" t="s">
        <v>295</v>
      </c>
      <c r="D36" s="118">
        <v>62</v>
      </c>
      <c r="E36" s="117"/>
      <c r="F36" s="78">
        <f t="shared" si="0"/>
        <v>0</v>
      </c>
      <c r="G36" s="77"/>
      <c r="H36" s="78"/>
      <c r="I36" s="78">
        <f t="shared" si="1"/>
        <v>0</v>
      </c>
    </row>
    <row r="37" spans="1:9" ht="25.5" customHeight="1">
      <c r="A37" s="105">
        <v>28</v>
      </c>
      <c r="B37" s="114" t="s">
        <v>289</v>
      </c>
      <c r="C37" s="116" t="s">
        <v>295</v>
      </c>
      <c r="D37" s="118">
        <v>340</v>
      </c>
      <c r="E37" s="117"/>
      <c r="F37" s="78">
        <f t="shared" si="0"/>
        <v>0</v>
      </c>
      <c r="G37" s="77"/>
      <c r="H37" s="78"/>
      <c r="I37" s="78">
        <f t="shared" si="1"/>
        <v>0</v>
      </c>
    </row>
    <row r="38" spans="1:9" ht="25.5" customHeight="1">
      <c r="A38" s="105">
        <v>29</v>
      </c>
      <c r="B38" s="114" t="s">
        <v>290</v>
      </c>
      <c r="C38" s="116" t="s">
        <v>103</v>
      </c>
      <c r="D38" s="118">
        <v>500</v>
      </c>
      <c r="E38" s="117"/>
      <c r="F38" s="78">
        <f t="shared" si="0"/>
        <v>0</v>
      </c>
      <c r="G38" s="77"/>
      <c r="H38" s="78"/>
      <c r="I38" s="78">
        <f t="shared" si="1"/>
        <v>0</v>
      </c>
    </row>
    <row r="39" spans="1:9" ht="25.5" customHeight="1">
      <c r="A39" s="105">
        <v>30</v>
      </c>
      <c r="B39" s="114" t="s">
        <v>291</v>
      </c>
      <c r="C39" s="116" t="s">
        <v>296</v>
      </c>
      <c r="D39" s="118">
        <v>10</v>
      </c>
      <c r="E39" s="117"/>
      <c r="F39" s="78">
        <f t="shared" si="0"/>
        <v>0</v>
      </c>
      <c r="G39" s="77"/>
      <c r="H39" s="78"/>
      <c r="I39" s="78">
        <f t="shared" si="1"/>
        <v>0</v>
      </c>
    </row>
    <row r="40" spans="1:9" ht="25.5" customHeight="1">
      <c r="A40" s="105">
        <v>31</v>
      </c>
      <c r="B40" s="114" t="s">
        <v>283</v>
      </c>
      <c r="C40" s="116" t="s">
        <v>103</v>
      </c>
      <c r="D40" s="118">
        <v>64</v>
      </c>
      <c r="E40" s="117"/>
      <c r="F40" s="78">
        <f t="shared" si="0"/>
        <v>0</v>
      </c>
      <c r="G40" s="77"/>
      <c r="H40" s="78"/>
      <c r="I40" s="78">
        <f t="shared" si="1"/>
        <v>0</v>
      </c>
    </row>
    <row r="41" spans="1:9" ht="25.5" customHeight="1">
      <c r="A41" s="105">
        <v>32</v>
      </c>
      <c r="B41" s="114" t="s">
        <v>292</v>
      </c>
      <c r="C41" s="116" t="s">
        <v>103</v>
      </c>
      <c r="D41" s="143">
        <f>D47+D48+D49</f>
        <v>72</v>
      </c>
      <c r="E41" s="117"/>
      <c r="F41" s="78">
        <f t="shared" si="0"/>
        <v>0</v>
      </c>
      <c r="G41" s="77"/>
      <c r="H41" s="78"/>
      <c r="I41" s="78">
        <f t="shared" si="1"/>
        <v>0</v>
      </c>
    </row>
    <row r="42" spans="1:9" ht="25.5" customHeight="1">
      <c r="A42" s="105">
        <v>33</v>
      </c>
      <c r="B42" s="114" t="s">
        <v>293</v>
      </c>
      <c r="C42" s="116" t="s">
        <v>295</v>
      </c>
      <c r="D42" s="118">
        <v>50</v>
      </c>
      <c r="E42" s="117"/>
      <c r="F42" s="78">
        <f t="shared" si="0"/>
        <v>0</v>
      </c>
      <c r="G42" s="77"/>
      <c r="H42" s="78"/>
      <c r="I42" s="78">
        <f t="shared" si="1"/>
        <v>0</v>
      </c>
    </row>
    <row r="43" spans="1:9" ht="27.75" customHeight="1">
      <c r="A43" s="105">
        <v>34</v>
      </c>
      <c r="B43" s="114" t="s">
        <v>282</v>
      </c>
      <c r="C43" s="116" t="s">
        <v>103</v>
      </c>
      <c r="D43" s="118">
        <v>700</v>
      </c>
      <c r="E43" s="117"/>
      <c r="F43" s="78">
        <f t="shared" si="0"/>
        <v>0</v>
      </c>
      <c r="G43" s="77"/>
      <c r="H43" s="78"/>
      <c r="I43" s="78">
        <f t="shared" si="1"/>
        <v>0</v>
      </c>
    </row>
    <row r="44" spans="1:9" ht="15" customHeight="1">
      <c r="A44" s="105"/>
      <c r="B44" s="26"/>
      <c r="C44" s="105"/>
      <c r="D44" s="3"/>
      <c r="E44" s="18"/>
      <c r="F44" s="5"/>
      <c r="G44" s="18"/>
      <c r="H44" s="5"/>
      <c r="I44" s="5"/>
    </row>
    <row r="45" spans="1:9" ht="27" customHeight="1">
      <c r="A45" s="105"/>
      <c r="B45" s="27" t="s">
        <v>15</v>
      </c>
      <c r="C45" s="105"/>
      <c r="D45" s="3"/>
      <c r="E45" s="4"/>
      <c r="F45" s="5">
        <f>SUM(F10:F44)</f>
        <v>0</v>
      </c>
      <c r="G45" s="4"/>
      <c r="H45" s="5">
        <f>SUM(H10:H44)</f>
        <v>0</v>
      </c>
      <c r="I45" s="5">
        <f>F45+H45</f>
        <v>0</v>
      </c>
    </row>
    <row r="46" spans="1:9" ht="22.5" customHeight="1">
      <c r="A46" s="153" t="s">
        <v>71</v>
      </c>
      <c r="B46" s="154"/>
      <c r="C46" s="154"/>
      <c r="D46" s="154"/>
      <c r="E46" s="154"/>
      <c r="F46" s="154"/>
      <c r="G46" s="154"/>
      <c r="H46" s="154"/>
      <c r="I46" s="155"/>
    </row>
    <row r="47" spans="1:9" ht="27" customHeight="1">
      <c r="A47" s="105">
        <v>1</v>
      </c>
      <c r="B47" s="26" t="s">
        <v>137</v>
      </c>
      <c r="C47" s="105" t="s">
        <v>40</v>
      </c>
      <c r="D47" s="4">
        <v>18</v>
      </c>
      <c r="E47" s="117"/>
      <c r="F47" s="78">
        <f aca="true" t="shared" si="2" ref="F47:F52">E47*D47</f>
        <v>0</v>
      </c>
      <c r="G47" s="77"/>
      <c r="H47" s="78">
        <f>G47*D47</f>
        <v>0</v>
      </c>
      <c r="I47" s="78">
        <f aca="true" t="shared" si="3" ref="I47:I53">F47+H47</f>
        <v>0</v>
      </c>
    </row>
    <row r="48" spans="1:9" ht="27" customHeight="1">
      <c r="A48" s="69">
        <v>2</v>
      </c>
      <c r="B48" s="26" t="s">
        <v>138</v>
      </c>
      <c r="C48" s="69" t="s">
        <v>40</v>
      </c>
      <c r="D48" s="4">
        <v>18</v>
      </c>
      <c r="E48" s="117"/>
      <c r="F48" s="78">
        <f t="shared" si="2"/>
        <v>0</v>
      </c>
      <c r="G48" s="77"/>
      <c r="H48" s="78">
        <f>G48*D48</f>
        <v>0</v>
      </c>
      <c r="I48" s="78">
        <f t="shared" si="3"/>
        <v>0</v>
      </c>
    </row>
    <row r="49" spans="1:9" ht="27" customHeight="1">
      <c r="A49" s="105">
        <v>3</v>
      </c>
      <c r="B49" s="26" t="s">
        <v>136</v>
      </c>
      <c r="C49" s="69" t="s">
        <v>40</v>
      </c>
      <c r="D49" s="4">
        <v>36</v>
      </c>
      <c r="E49" s="117"/>
      <c r="F49" s="78">
        <f t="shared" si="2"/>
        <v>0</v>
      </c>
      <c r="G49" s="77"/>
      <c r="H49" s="78">
        <f>G49*D49</f>
        <v>0</v>
      </c>
      <c r="I49" s="78">
        <f t="shared" si="3"/>
        <v>0</v>
      </c>
    </row>
    <row r="50" spans="1:9" ht="27" customHeight="1">
      <c r="A50" s="105">
        <v>4</v>
      </c>
      <c r="B50" s="26" t="s">
        <v>347</v>
      </c>
      <c r="C50" s="69" t="s">
        <v>40</v>
      </c>
      <c r="D50" s="4">
        <v>108</v>
      </c>
      <c r="E50" s="117"/>
      <c r="F50" s="78">
        <f t="shared" si="2"/>
        <v>0</v>
      </c>
      <c r="G50" s="77"/>
      <c r="H50" s="78">
        <f>G50*D50</f>
        <v>0</v>
      </c>
      <c r="I50" s="78">
        <f t="shared" si="3"/>
        <v>0</v>
      </c>
    </row>
    <row r="51" spans="1:9" ht="27" customHeight="1">
      <c r="A51" s="122">
        <v>5</v>
      </c>
      <c r="B51" s="26" t="s">
        <v>139</v>
      </c>
      <c r="C51" s="69" t="s">
        <v>40</v>
      </c>
      <c r="D51" s="4">
        <v>1</v>
      </c>
      <c r="E51" s="117"/>
      <c r="F51" s="78">
        <f t="shared" si="2"/>
        <v>0</v>
      </c>
      <c r="G51" s="77"/>
      <c r="H51" s="78">
        <f>G51*D51</f>
        <v>0</v>
      </c>
      <c r="I51" s="78">
        <f t="shared" si="3"/>
        <v>0</v>
      </c>
    </row>
    <row r="52" spans="1:9" ht="27" customHeight="1">
      <c r="A52" s="122">
        <v>6</v>
      </c>
      <c r="B52" s="26" t="s">
        <v>56</v>
      </c>
      <c r="C52" s="69" t="s">
        <v>32</v>
      </c>
      <c r="D52" s="4">
        <v>1</v>
      </c>
      <c r="E52" s="117"/>
      <c r="F52" s="78">
        <f t="shared" si="2"/>
        <v>0</v>
      </c>
      <c r="G52" s="77"/>
      <c r="H52" s="78"/>
      <c r="I52" s="78">
        <f t="shared" si="3"/>
        <v>0</v>
      </c>
    </row>
    <row r="53" spans="1:9" ht="27.75" customHeight="1">
      <c r="A53" s="69"/>
      <c r="B53" s="27" t="s">
        <v>16</v>
      </c>
      <c r="C53" s="69"/>
      <c r="D53" s="3"/>
      <c r="E53" s="4"/>
      <c r="F53" s="5">
        <f>SUM(F47:F52)</f>
        <v>0</v>
      </c>
      <c r="G53" s="4"/>
      <c r="H53" s="5">
        <f>SUM(H47:H52)</f>
        <v>0</v>
      </c>
      <c r="I53" s="5">
        <f t="shared" si="3"/>
        <v>0</v>
      </c>
    </row>
    <row r="54" spans="1:9" ht="12.75" customHeight="1">
      <c r="A54" s="70"/>
      <c r="B54" s="55"/>
      <c r="C54" s="71"/>
      <c r="D54" s="56"/>
      <c r="E54" s="57"/>
      <c r="F54" s="58"/>
      <c r="G54" s="57"/>
      <c r="H54" s="58"/>
      <c r="I54" s="59"/>
    </row>
    <row r="55" spans="1:9" ht="22.5" customHeight="1">
      <c r="A55" s="172" t="s">
        <v>297</v>
      </c>
      <c r="B55" s="173"/>
      <c r="C55" s="173"/>
      <c r="D55" s="173"/>
      <c r="E55" s="173"/>
      <c r="F55" s="173"/>
      <c r="G55" s="173"/>
      <c r="H55" s="173"/>
      <c r="I55" s="174"/>
    </row>
    <row r="56" spans="1:9" ht="32.25" customHeight="1">
      <c r="A56" s="69">
        <v>1</v>
      </c>
      <c r="B56" s="26" t="s">
        <v>298</v>
      </c>
      <c r="C56" s="69" t="s">
        <v>6</v>
      </c>
      <c r="D56" s="3">
        <v>504</v>
      </c>
      <c r="E56" s="117"/>
      <c r="F56" s="78">
        <f aca="true" t="shared" si="4" ref="F56:F61">E56*D56</f>
        <v>0</v>
      </c>
      <c r="G56" s="77"/>
      <c r="H56" s="78">
        <f aca="true" t="shared" si="5" ref="H56:H61">G56*D56</f>
        <v>0</v>
      </c>
      <c r="I56" s="78">
        <f aca="true" t="shared" si="6" ref="I56:I61">F56+H56</f>
        <v>0</v>
      </c>
    </row>
    <row r="57" spans="1:9" ht="27" customHeight="1">
      <c r="A57" s="69">
        <v>2</v>
      </c>
      <c r="B57" s="26" t="s">
        <v>299</v>
      </c>
      <c r="C57" s="105" t="s">
        <v>6</v>
      </c>
      <c r="D57" s="3">
        <v>48</v>
      </c>
      <c r="E57" s="117"/>
      <c r="F57" s="78">
        <f t="shared" si="4"/>
        <v>0</v>
      </c>
      <c r="G57" s="77"/>
      <c r="H57" s="78">
        <f t="shared" si="5"/>
        <v>0</v>
      </c>
      <c r="I57" s="78">
        <f t="shared" si="6"/>
        <v>0</v>
      </c>
    </row>
    <row r="58" spans="1:9" ht="27" customHeight="1">
      <c r="A58" s="105">
        <v>3</v>
      </c>
      <c r="B58" s="26" t="s">
        <v>300</v>
      </c>
      <c r="C58" s="105" t="s">
        <v>6</v>
      </c>
      <c r="D58" s="3">
        <v>43.2</v>
      </c>
      <c r="E58" s="117"/>
      <c r="F58" s="78">
        <f t="shared" si="4"/>
        <v>0</v>
      </c>
      <c r="G58" s="77"/>
      <c r="H58" s="78">
        <f t="shared" si="5"/>
        <v>0</v>
      </c>
      <c r="I58" s="78">
        <f t="shared" si="6"/>
        <v>0</v>
      </c>
    </row>
    <row r="59" spans="1:9" ht="27" customHeight="1">
      <c r="A59" s="105">
        <v>4</v>
      </c>
      <c r="B59" s="26" t="s">
        <v>301</v>
      </c>
      <c r="C59" s="105" t="s">
        <v>6</v>
      </c>
      <c r="D59" s="3">
        <v>28</v>
      </c>
      <c r="E59" s="117"/>
      <c r="F59" s="78">
        <f t="shared" si="4"/>
        <v>0</v>
      </c>
      <c r="G59" s="77"/>
      <c r="H59" s="78">
        <f t="shared" si="5"/>
        <v>0</v>
      </c>
      <c r="I59" s="78">
        <f t="shared" si="6"/>
        <v>0</v>
      </c>
    </row>
    <row r="60" spans="1:9" ht="27" customHeight="1">
      <c r="A60" s="105">
        <v>5</v>
      </c>
      <c r="B60" s="26" t="s">
        <v>303</v>
      </c>
      <c r="C60" s="105" t="s">
        <v>6</v>
      </c>
      <c r="D60" s="3">
        <v>28</v>
      </c>
      <c r="E60" s="117"/>
      <c r="F60" s="78">
        <f t="shared" si="4"/>
        <v>0</v>
      </c>
      <c r="G60" s="77"/>
      <c r="H60" s="78">
        <f t="shared" si="5"/>
        <v>0</v>
      </c>
      <c r="I60" s="78">
        <f t="shared" si="6"/>
        <v>0</v>
      </c>
    </row>
    <row r="61" spans="1:9" ht="27" customHeight="1">
      <c r="A61" s="105">
        <v>6</v>
      </c>
      <c r="B61" s="26" t="s">
        <v>302</v>
      </c>
      <c r="C61" s="105" t="s">
        <v>6</v>
      </c>
      <c r="D61" s="3">
        <v>24</v>
      </c>
      <c r="E61" s="117"/>
      <c r="F61" s="78">
        <f t="shared" si="4"/>
        <v>0</v>
      </c>
      <c r="G61" s="77"/>
      <c r="H61" s="78">
        <f t="shared" si="5"/>
        <v>0</v>
      </c>
      <c r="I61" s="78">
        <f t="shared" si="6"/>
        <v>0</v>
      </c>
    </row>
    <row r="62" spans="1:9" ht="27" customHeight="1">
      <c r="A62" s="105">
        <v>7</v>
      </c>
      <c r="B62" s="26" t="s">
        <v>304</v>
      </c>
      <c r="C62" s="105"/>
      <c r="D62" s="3"/>
      <c r="E62" s="18"/>
      <c r="F62" s="5">
        <f>I62</f>
        <v>0</v>
      </c>
      <c r="G62" s="18"/>
      <c r="H62" s="5"/>
      <c r="I62" s="5">
        <f>(F56+F57+F58+F59+F60+F61)*0.3</f>
        <v>0</v>
      </c>
    </row>
    <row r="63" spans="1:9" ht="27" customHeight="1">
      <c r="A63" s="105">
        <v>8</v>
      </c>
      <c r="B63" s="26" t="s">
        <v>305</v>
      </c>
      <c r="C63" s="105" t="s">
        <v>306</v>
      </c>
      <c r="D63" s="3">
        <v>1</v>
      </c>
      <c r="E63" s="117"/>
      <c r="F63" s="78">
        <f aca="true" t="shared" si="7" ref="F63:F72">E63*D63</f>
        <v>0</v>
      </c>
      <c r="G63" s="77"/>
      <c r="H63" s="78">
        <f aca="true" t="shared" si="8" ref="H63:H72">G63*D63</f>
        <v>0</v>
      </c>
      <c r="I63" s="78">
        <f aca="true" t="shared" si="9" ref="I63:I72">F63+H63</f>
        <v>0</v>
      </c>
    </row>
    <row r="64" spans="1:9" ht="27" customHeight="1">
      <c r="A64" s="105">
        <v>9</v>
      </c>
      <c r="B64" s="26" t="s">
        <v>307</v>
      </c>
      <c r="C64" s="105" t="s">
        <v>20</v>
      </c>
      <c r="D64" s="3">
        <f>D56+D57+D58+D59+D60+D61</f>
        <v>675.2</v>
      </c>
      <c r="E64" s="117"/>
      <c r="F64" s="78">
        <f t="shared" si="7"/>
        <v>0</v>
      </c>
      <c r="G64" s="77"/>
      <c r="H64" s="78">
        <f t="shared" si="8"/>
        <v>0</v>
      </c>
      <c r="I64" s="78">
        <f t="shared" si="9"/>
        <v>0</v>
      </c>
    </row>
    <row r="65" spans="1:9" ht="27" customHeight="1">
      <c r="A65" s="105">
        <v>10</v>
      </c>
      <c r="B65" s="26" t="s">
        <v>308</v>
      </c>
      <c r="C65" s="105" t="s">
        <v>27</v>
      </c>
      <c r="D65" s="3">
        <v>10.8</v>
      </c>
      <c r="E65" s="18"/>
      <c r="F65" s="78">
        <f t="shared" si="7"/>
        <v>0</v>
      </c>
      <c r="G65" s="77"/>
      <c r="H65" s="78">
        <f t="shared" si="8"/>
        <v>0</v>
      </c>
      <c r="I65" s="78">
        <f t="shared" si="9"/>
        <v>0</v>
      </c>
    </row>
    <row r="66" spans="1:9" ht="75.75" customHeight="1">
      <c r="A66" s="105">
        <v>11</v>
      </c>
      <c r="B66" s="26" t="s">
        <v>310</v>
      </c>
      <c r="C66" s="105" t="s">
        <v>306</v>
      </c>
      <c r="D66" s="3">
        <v>1</v>
      </c>
      <c r="E66" s="18"/>
      <c r="F66" s="78">
        <f t="shared" si="7"/>
        <v>0</v>
      </c>
      <c r="G66" s="77"/>
      <c r="H66" s="78">
        <f t="shared" si="8"/>
        <v>0</v>
      </c>
      <c r="I66" s="78">
        <f t="shared" si="9"/>
        <v>0</v>
      </c>
    </row>
    <row r="67" spans="1:9" ht="27" customHeight="1">
      <c r="A67" s="105">
        <v>12</v>
      </c>
      <c r="B67" s="26" t="s">
        <v>309</v>
      </c>
      <c r="C67" s="105" t="s">
        <v>27</v>
      </c>
      <c r="D67" s="3">
        <v>11</v>
      </c>
      <c r="E67" s="18"/>
      <c r="F67" s="78">
        <f t="shared" si="7"/>
        <v>0</v>
      </c>
      <c r="G67" s="77"/>
      <c r="H67" s="78">
        <f t="shared" si="8"/>
        <v>0</v>
      </c>
      <c r="I67" s="78">
        <f t="shared" si="9"/>
        <v>0</v>
      </c>
    </row>
    <row r="68" spans="1:9" ht="75" customHeight="1">
      <c r="A68" s="105">
        <v>13</v>
      </c>
      <c r="B68" s="26" t="s">
        <v>311</v>
      </c>
      <c r="C68" s="105" t="s">
        <v>306</v>
      </c>
      <c r="D68" s="3">
        <v>1</v>
      </c>
      <c r="E68" s="18"/>
      <c r="F68" s="5">
        <f t="shared" si="7"/>
        <v>0</v>
      </c>
      <c r="G68" s="77"/>
      <c r="H68" s="78">
        <f t="shared" si="8"/>
        <v>0</v>
      </c>
      <c r="I68" s="78">
        <f t="shared" si="9"/>
        <v>0</v>
      </c>
    </row>
    <row r="69" spans="1:9" ht="60" customHeight="1">
      <c r="A69" s="105">
        <v>14</v>
      </c>
      <c r="B69" s="26" t="s">
        <v>312</v>
      </c>
      <c r="C69" s="105" t="s">
        <v>306</v>
      </c>
      <c r="D69" s="3">
        <v>1</v>
      </c>
      <c r="E69" s="18"/>
      <c r="F69" s="5">
        <f t="shared" si="7"/>
        <v>0</v>
      </c>
      <c r="G69" s="77"/>
      <c r="H69" s="78">
        <f t="shared" si="8"/>
        <v>0</v>
      </c>
      <c r="I69" s="78">
        <f t="shared" si="9"/>
        <v>0</v>
      </c>
    </row>
    <row r="70" spans="1:9" ht="27" customHeight="1">
      <c r="A70" s="105">
        <v>15</v>
      </c>
      <c r="B70" s="26" t="s">
        <v>313</v>
      </c>
      <c r="C70" s="105" t="s">
        <v>27</v>
      </c>
      <c r="D70" s="3">
        <v>50</v>
      </c>
      <c r="E70" s="18"/>
      <c r="F70" s="5">
        <f t="shared" si="7"/>
        <v>0</v>
      </c>
      <c r="G70" s="77"/>
      <c r="H70" s="78">
        <f t="shared" si="8"/>
        <v>0</v>
      </c>
      <c r="I70" s="78">
        <f t="shared" si="9"/>
        <v>0</v>
      </c>
    </row>
    <row r="71" spans="1:9" ht="63.75" customHeight="1">
      <c r="A71" s="105">
        <v>16</v>
      </c>
      <c r="B71" s="26" t="s">
        <v>314</v>
      </c>
      <c r="C71" s="105" t="s">
        <v>306</v>
      </c>
      <c r="D71" s="3">
        <v>1</v>
      </c>
      <c r="E71" s="18"/>
      <c r="F71" s="5">
        <f t="shared" si="7"/>
        <v>0</v>
      </c>
      <c r="G71" s="77"/>
      <c r="H71" s="78">
        <f t="shared" si="8"/>
        <v>0</v>
      </c>
      <c r="I71" s="78">
        <f t="shared" si="9"/>
        <v>0</v>
      </c>
    </row>
    <row r="72" spans="1:9" ht="54" customHeight="1">
      <c r="A72" s="105">
        <v>17</v>
      </c>
      <c r="B72" s="26" t="s">
        <v>315</v>
      </c>
      <c r="C72" s="105" t="s">
        <v>306</v>
      </c>
      <c r="D72" s="3">
        <v>1</v>
      </c>
      <c r="E72" s="18"/>
      <c r="F72" s="5">
        <f t="shared" si="7"/>
        <v>0</v>
      </c>
      <c r="G72" s="77"/>
      <c r="H72" s="78">
        <f t="shared" si="8"/>
        <v>0</v>
      </c>
      <c r="I72" s="78">
        <f t="shared" si="9"/>
        <v>0</v>
      </c>
    </row>
    <row r="73" spans="1:9" ht="20.25" customHeight="1">
      <c r="A73" s="105"/>
      <c r="B73" s="26"/>
      <c r="C73" s="69"/>
      <c r="D73" s="4"/>
      <c r="E73" s="18"/>
      <c r="F73" s="5"/>
      <c r="G73" s="18"/>
      <c r="H73" s="5"/>
      <c r="I73" s="5"/>
    </row>
    <row r="74" spans="1:9" ht="27.75" customHeight="1">
      <c r="A74" s="69"/>
      <c r="B74" s="27" t="s">
        <v>17</v>
      </c>
      <c r="C74" s="69"/>
      <c r="D74" s="3"/>
      <c r="E74" s="4"/>
      <c r="F74" s="5">
        <f>SUM(F56:F73)</f>
        <v>0</v>
      </c>
      <c r="G74" s="4"/>
      <c r="H74" s="5">
        <f>SUM(H56:H73)</f>
        <v>0</v>
      </c>
      <c r="I74" s="5">
        <f>F74+H74</f>
        <v>0</v>
      </c>
    </row>
    <row r="75" spans="1:9" ht="12.75" customHeight="1">
      <c r="A75" s="70"/>
      <c r="B75" s="55"/>
      <c r="C75" s="71"/>
      <c r="D75" s="56"/>
      <c r="E75" s="57"/>
      <c r="F75" s="58"/>
      <c r="G75" s="57"/>
      <c r="H75" s="58"/>
      <c r="I75" s="59"/>
    </row>
    <row r="76" spans="1:9" ht="3.75" customHeight="1">
      <c r="A76" s="166"/>
      <c r="B76" s="167"/>
      <c r="C76" s="167"/>
      <c r="D76" s="167"/>
      <c r="E76" s="167"/>
      <c r="F76" s="167"/>
      <c r="G76" s="167"/>
      <c r="H76" s="167"/>
      <c r="I76" s="168"/>
    </row>
    <row r="77" spans="1:9" ht="29.25" customHeight="1">
      <c r="A77" s="76"/>
      <c r="B77" s="27" t="s">
        <v>119</v>
      </c>
      <c r="C77" s="76"/>
      <c r="D77" s="3"/>
      <c r="E77" s="4"/>
      <c r="F77" s="5">
        <f>F53+F45+F74</f>
        <v>0</v>
      </c>
      <c r="G77" s="4"/>
      <c r="H77" s="5">
        <f>H53+H45+H74</f>
        <v>0</v>
      </c>
      <c r="I77" s="5">
        <f>F77+H77</f>
        <v>0</v>
      </c>
    </row>
    <row r="78" spans="1:9" ht="33.75" customHeight="1">
      <c r="A78" s="76"/>
      <c r="B78" s="28" t="s">
        <v>147</v>
      </c>
      <c r="C78" s="22">
        <v>0</v>
      </c>
      <c r="D78" s="3"/>
      <c r="E78" s="4"/>
      <c r="F78" s="5"/>
      <c r="G78" s="4"/>
      <c r="H78" s="23"/>
      <c r="I78" s="5">
        <f>F77*C78</f>
        <v>0</v>
      </c>
    </row>
    <row r="79" spans="1:9" ht="25.5" customHeight="1">
      <c r="A79" s="76"/>
      <c r="B79" s="28" t="s">
        <v>13</v>
      </c>
      <c r="C79" s="76"/>
      <c r="D79" s="3"/>
      <c r="E79" s="4"/>
      <c r="F79" s="5"/>
      <c r="G79" s="4"/>
      <c r="H79" s="23"/>
      <c r="I79" s="5">
        <f>I77+I78</f>
        <v>0</v>
      </c>
    </row>
    <row r="80" spans="1:9" ht="25.5" customHeight="1">
      <c r="A80" s="76"/>
      <c r="B80" s="28" t="s">
        <v>146</v>
      </c>
      <c r="C80" s="22">
        <v>0</v>
      </c>
      <c r="D80" s="3"/>
      <c r="E80" s="4"/>
      <c r="F80" s="5"/>
      <c r="G80" s="4"/>
      <c r="H80" s="23"/>
      <c r="I80" s="5">
        <f>I79*C80</f>
        <v>0</v>
      </c>
    </row>
    <row r="81" spans="1:9" ht="25.5" customHeight="1">
      <c r="A81" s="76"/>
      <c r="B81" s="28" t="s">
        <v>13</v>
      </c>
      <c r="C81" s="76"/>
      <c r="D81" s="3"/>
      <c r="E81" s="4"/>
      <c r="F81" s="5"/>
      <c r="G81" s="4"/>
      <c r="H81" s="23"/>
      <c r="I81" s="5">
        <f>I79+I80</f>
        <v>0</v>
      </c>
    </row>
    <row r="82" spans="1:9" ht="25.5" customHeight="1">
      <c r="A82" s="76"/>
      <c r="B82" s="28" t="s">
        <v>93</v>
      </c>
      <c r="C82" s="24">
        <v>0</v>
      </c>
      <c r="D82" s="3"/>
      <c r="E82" s="4"/>
      <c r="F82" s="5"/>
      <c r="G82" s="4"/>
      <c r="H82" s="23"/>
      <c r="I82" s="5">
        <f>I81*C82</f>
        <v>0</v>
      </c>
    </row>
    <row r="83" spans="1:9" ht="25.5" customHeight="1">
      <c r="A83" s="76"/>
      <c r="B83" s="28" t="s">
        <v>2</v>
      </c>
      <c r="C83" s="76"/>
      <c r="D83" s="3"/>
      <c r="E83" s="4"/>
      <c r="F83" s="5"/>
      <c r="G83" s="4"/>
      <c r="H83" s="23"/>
      <c r="I83" s="5">
        <f>I82+I81</f>
        <v>0</v>
      </c>
    </row>
    <row r="84" spans="1:9" ht="25.5" customHeight="1">
      <c r="A84" s="76"/>
      <c r="B84" s="28" t="s">
        <v>94</v>
      </c>
      <c r="C84" s="24">
        <v>0</v>
      </c>
      <c r="D84" s="3"/>
      <c r="E84" s="4"/>
      <c r="F84" s="5"/>
      <c r="G84" s="4"/>
      <c r="H84" s="23"/>
      <c r="I84" s="5">
        <f>I83*C84</f>
        <v>0</v>
      </c>
    </row>
    <row r="85" spans="1:9" ht="25.5" customHeight="1">
      <c r="A85" s="76"/>
      <c r="B85" s="28" t="s">
        <v>2</v>
      </c>
      <c r="C85" s="76"/>
      <c r="D85" s="3"/>
      <c r="E85" s="4"/>
      <c r="F85" s="5"/>
      <c r="G85" s="4"/>
      <c r="H85" s="23"/>
      <c r="I85" s="5">
        <f>I84+I83</f>
        <v>0</v>
      </c>
    </row>
    <row r="86" spans="1:9" ht="25.5" customHeight="1">
      <c r="A86" s="76"/>
      <c r="B86" s="28" t="s">
        <v>95</v>
      </c>
      <c r="C86" s="24">
        <v>0.18</v>
      </c>
      <c r="D86" s="3"/>
      <c r="E86" s="4"/>
      <c r="F86" s="5"/>
      <c r="G86" s="4"/>
      <c r="H86" s="23"/>
      <c r="I86" s="5">
        <f>I85*C86</f>
        <v>0</v>
      </c>
    </row>
    <row r="87" spans="1:9" ht="25.5" customHeight="1">
      <c r="A87" s="76"/>
      <c r="B87" s="28" t="s">
        <v>35</v>
      </c>
      <c r="C87" s="76"/>
      <c r="D87" s="3"/>
      <c r="E87" s="4"/>
      <c r="F87" s="5"/>
      <c r="G87" s="4"/>
      <c r="H87" s="23"/>
      <c r="I87" s="5">
        <f>I86+I85</f>
        <v>0</v>
      </c>
    </row>
  </sheetData>
  <sheetProtection/>
  <mergeCells count="17">
    <mergeCell ref="B10:D10"/>
    <mergeCell ref="A76:I76"/>
    <mergeCell ref="A6:A7"/>
    <mergeCell ref="B6:B7"/>
    <mergeCell ref="C6:C7"/>
    <mergeCell ref="D6:D7"/>
    <mergeCell ref="E6:F6"/>
    <mergeCell ref="A46:I46"/>
    <mergeCell ref="A55:I55"/>
    <mergeCell ref="G6:H6"/>
    <mergeCell ref="I6:I7"/>
    <mergeCell ref="A9:I9"/>
    <mergeCell ref="A1:I1"/>
    <mergeCell ref="A2:I2"/>
    <mergeCell ref="A3:I3"/>
    <mergeCell ref="A4:I4"/>
    <mergeCell ref="A5:I5"/>
  </mergeCells>
  <printOptions/>
  <pageMargins left="0.25" right="0.25" top="0.25" bottom="0.2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SheetLayoutView="100" zoomScalePageLayoutView="0" workbookViewId="0" topLeftCell="A38">
      <selection activeCell="C51" sqref="C51"/>
    </sheetView>
  </sheetViews>
  <sheetFormatPr defaultColWidth="9.140625" defaultRowHeight="12.75"/>
  <cols>
    <col min="1" max="1" width="3.57421875" style="1" customWidth="1"/>
    <col min="2" max="2" width="37.00390625" style="1" customWidth="1"/>
    <col min="3" max="3" width="6.421875" style="1" customWidth="1"/>
    <col min="4" max="4" width="6.8515625" style="1" customWidth="1"/>
    <col min="5" max="5" width="7.7109375" style="1" customWidth="1"/>
    <col min="6" max="6" width="9.7109375" style="1" customWidth="1"/>
    <col min="7" max="7" width="7.710937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73</v>
      </c>
      <c r="B3" s="158"/>
      <c r="C3" s="158"/>
      <c r="D3" s="158"/>
      <c r="E3" s="158"/>
      <c r="F3" s="158"/>
      <c r="G3" s="158"/>
      <c r="H3" s="158"/>
      <c r="I3" s="158"/>
    </row>
    <row r="4" spans="1:9" ht="21" customHeight="1">
      <c r="A4" s="159" t="s">
        <v>118</v>
      </c>
      <c r="B4" s="159"/>
      <c r="C4" s="159"/>
      <c r="D4" s="159"/>
      <c r="E4" s="159"/>
      <c r="F4" s="159"/>
      <c r="G4" s="159"/>
      <c r="H4" s="159"/>
      <c r="I4" s="159"/>
    </row>
    <row r="5" spans="1:9" ht="7.5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8.7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46" t="s">
        <v>9</v>
      </c>
      <c r="F7" s="46" t="s">
        <v>1</v>
      </c>
      <c r="G7" s="46" t="s">
        <v>9</v>
      </c>
      <c r="H7" s="46" t="s">
        <v>1</v>
      </c>
      <c r="I7" s="162"/>
    </row>
    <row r="8" spans="1:9" ht="14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13" ht="24" customHeight="1">
      <c r="A9" s="153" t="s">
        <v>74</v>
      </c>
      <c r="B9" s="154"/>
      <c r="C9" s="154"/>
      <c r="D9" s="154"/>
      <c r="E9" s="154"/>
      <c r="F9" s="154"/>
      <c r="G9" s="154"/>
      <c r="H9" s="154"/>
      <c r="I9" s="155"/>
      <c r="J9" s="1"/>
      <c r="K9" s="1"/>
      <c r="L9" s="1"/>
      <c r="M9" s="1"/>
    </row>
    <row r="10" spans="1:13" ht="32.25" customHeight="1">
      <c r="A10" s="66">
        <v>1</v>
      </c>
      <c r="B10" s="26" t="s">
        <v>113</v>
      </c>
      <c r="C10" s="66" t="s">
        <v>6</v>
      </c>
      <c r="D10" s="4">
        <v>36</v>
      </c>
      <c r="E10" s="18"/>
      <c r="F10" s="5">
        <f aca="true" t="shared" si="0" ref="F10:F16">E10*D10</f>
        <v>0</v>
      </c>
      <c r="G10" s="29"/>
      <c r="H10" s="5">
        <f aca="true" t="shared" si="1" ref="H10:H15">G10*D10</f>
        <v>0</v>
      </c>
      <c r="I10" s="5">
        <f aca="true" t="shared" si="2" ref="I10:I16">F10+H10</f>
        <v>0</v>
      </c>
      <c r="J10" s="35"/>
      <c r="K10" s="21"/>
      <c r="L10" s="21"/>
      <c r="M10" s="1"/>
    </row>
    <row r="11" spans="1:13" ht="32.25" customHeight="1">
      <c r="A11" s="66">
        <v>2</v>
      </c>
      <c r="B11" s="26" t="s">
        <v>75</v>
      </c>
      <c r="C11" s="66" t="s">
        <v>6</v>
      </c>
      <c r="D11" s="4">
        <v>504</v>
      </c>
      <c r="E11" s="18"/>
      <c r="F11" s="5">
        <f t="shared" si="0"/>
        <v>0</v>
      </c>
      <c r="G11" s="29"/>
      <c r="H11" s="5">
        <f t="shared" si="1"/>
        <v>0</v>
      </c>
      <c r="I11" s="5">
        <f t="shared" si="2"/>
        <v>0</v>
      </c>
      <c r="J11" s="35"/>
      <c r="K11" s="21"/>
      <c r="L11" s="21"/>
      <c r="M11" s="1"/>
    </row>
    <row r="12" spans="1:13" ht="32.25" customHeight="1">
      <c r="A12" s="66">
        <v>3</v>
      </c>
      <c r="B12" s="26" t="s">
        <v>76</v>
      </c>
      <c r="C12" s="66" t="s">
        <v>6</v>
      </c>
      <c r="D12" s="4">
        <v>198</v>
      </c>
      <c r="E12" s="18"/>
      <c r="F12" s="5">
        <f t="shared" si="0"/>
        <v>0</v>
      </c>
      <c r="G12" s="29"/>
      <c r="H12" s="5">
        <f t="shared" si="1"/>
        <v>0</v>
      </c>
      <c r="I12" s="5">
        <f t="shared" si="2"/>
        <v>0</v>
      </c>
      <c r="J12" s="35"/>
      <c r="K12" s="21"/>
      <c r="L12" s="21"/>
      <c r="M12" s="1"/>
    </row>
    <row r="13" spans="1:13" ht="22.5" customHeight="1">
      <c r="A13" s="66">
        <v>4</v>
      </c>
      <c r="B13" s="26" t="s">
        <v>114</v>
      </c>
      <c r="C13" s="66" t="s">
        <v>42</v>
      </c>
      <c r="D13" s="4">
        <v>18</v>
      </c>
      <c r="E13" s="18"/>
      <c r="F13" s="5">
        <f t="shared" si="0"/>
        <v>0</v>
      </c>
      <c r="G13" s="29"/>
      <c r="H13" s="5">
        <f t="shared" si="1"/>
        <v>0</v>
      </c>
      <c r="I13" s="5">
        <f t="shared" si="2"/>
        <v>0</v>
      </c>
      <c r="J13" s="35"/>
      <c r="K13" s="21"/>
      <c r="L13" s="21"/>
      <c r="M13" s="1"/>
    </row>
    <row r="14" spans="1:13" ht="22.5" customHeight="1">
      <c r="A14" s="66">
        <v>5</v>
      </c>
      <c r="B14" s="26" t="s">
        <v>115</v>
      </c>
      <c r="C14" s="66" t="s">
        <v>42</v>
      </c>
      <c r="D14" s="4">
        <v>302</v>
      </c>
      <c r="E14" s="18"/>
      <c r="F14" s="5">
        <f t="shared" si="0"/>
        <v>0</v>
      </c>
      <c r="G14" s="29"/>
      <c r="H14" s="5">
        <f t="shared" si="1"/>
        <v>0</v>
      </c>
      <c r="I14" s="5">
        <f t="shared" si="2"/>
        <v>0</v>
      </c>
      <c r="J14" s="35"/>
      <c r="K14" s="21"/>
      <c r="L14" s="21"/>
      <c r="M14" s="1"/>
    </row>
    <row r="15" spans="1:13" ht="22.5" customHeight="1">
      <c r="A15" s="66">
        <v>6</v>
      </c>
      <c r="B15" s="26" t="s">
        <v>116</v>
      </c>
      <c r="C15" s="66" t="s">
        <v>42</v>
      </c>
      <c r="D15" s="4">
        <v>388</v>
      </c>
      <c r="E15" s="18"/>
      <c r="F15" s="5">
        <f t="shared" si="0"/>
        <v>0</v>
      </c>
      <c r="G15" s="29"/>
      <c r="H15" s="5">
        <f t="shared" si="1"/>
        <v>0</v>
      </c>
      <c r="I15" s="5">
        <f t="shared" si="2"/>
        <v>0</v>
      </c>
      <c r="J15" s="35"/>
      <c r="K15" s="21"/>
      <c r="L15" s="21"/>
      <c r="M15" s="1"/>
    </row>
    <row r="16" spans="1:13" ht="22.5" customHeight="1">
      <c r="A16" s="66">
        <v>8</v>
      </c>
      <c r="B16" s="26" t="s">
        <v>117</v>
      </c>
      <c r="C16" s="66" t="s">
        <v>42</v>
      </c>
      <c r="D16" s="4">
        <v>24</v>
      </c>
      <c r="E16" s="18"/>
      <c r="F16" s="5">
        <f t="shared" si="0"/>
        <v>0</v>
      </c>
      <c r="G16" s="29"/>
      <c r="H16" s="5"/>
      <c r="I16" s="5">
        <f t="shared" si="2"/>
        <v>0</v>
      </c>
      <c r="J16" s="35"/>
      <c r="K16" s="21"/>
      <c r="L16" s="21"/>
      <c r="M16" s="1"/>
    </row>
    <row r="17" spans="1:13" ht="9.75" customHeight="1">
      <c r="A17" s="63"/>
      <c r="B17" s="26"/>
      <c r="C17" s="63"/>
      <c r="D17" s="4"/>
      <c r="E17" s="18"/>
      <c r="F17" s="5"/>
      <c r="G17" s="29"/>
      <c r="H17" s="5"/>
      <c r="I17" s="5"/>
      <c r="J17" s="35"/>
      <c r="K17" s="21"/>
      <c r="L17" s="21"/>
      <c r="M17" s="1"/>
    </row>
    <row r="18" spans="1:9" ht="27" customHeight="1">
      <c r="A18" s="45"/>
      <c r="B18" s="27" t="s">
        <v>15</v>
      </c>
      <c r="C18" s="45"/>
      <c r="D18" s="3"/>
      <c r="E18" s="4"/>
      <c r="F18" s="5">
        <f>SUM(F10:F17)</f>
        <v>0</v>
      </c>
      <c r="G18" s="4"/>
      <c r="H18" s="5">
        <f>SUM(H10:H17)</f>
        <v>0</v>
      </c>
      <c r="I18" s="5">
        <f>F18+H18</f>
        <v>0</v>
      </c>
    </row>
    <row r="19" spans="1:9" ht="27" customHeight="1">
      <c r="A19" s="153" t="s">
        <v>77</v>
      </c>
      <c r="B19" s="154"/>
      <c r="C19" s="154"/>
      <c r="D19" s="154"/>
      <c r="E19" s="154"/>
      <c r="F19" s="154"/>
      <c r="G19" s="154"/>
      <c r="H19" s="154"/>
      <c r="I19" s="155"/>
    </row>
    <row r="20" spans="1:9" ht="22.5" customHeight="1">
      <c r="A20" s="45">
        <v>1</v>
      </c>
      <c r="B20" s="26" t="s">
        <v>120</v>
      </c>
      <c r="C20" s="45" t="s">
        <v>20</v>
      </c>
      <c r="D20" s="3">
        <v>668</v>
      </c>
      <c r="E20" s="18"/>
      <c r="F20" s="5">
        <f aca="true" t="shared" si="3" ref="F20:F33">E20*D20</f>
        <v>0</v>
      </c>
      <c r="G20" s="18"/>
      <c r="H20" s="5"/>
      <c r="I20" s="5">
        <f aca="true" t="shared" si="4" ref="I20:I33">F20+H20</f>
        <v>0</v>
      </c>
    </row>
    <row r="21" spans="1:9" ht="22.5" customHeight="1">
      <c r="A21" s="66">
        <v>2</v>
      </c>
      <c r="B21" s="26" t="s">
        <v>121</v>
      </c>
      <c r="C21" s="66" t="s">
        <v>20</v>
      </c>
      <c r="D21" s="3">
        <v>576</v>
      </c>
      <c r="E21" s="18"/>
      <c r="F21" s="5">
        <f t="shared" si="3"/>
        <v>0</v>
      </c>
      <c r="G21" s="18"/>
      <c r="H21" s="5"/>
      <c r="I21" s="5">
        <f t="shared" si="4"/>
        <v>0</v>
      </c>
    </row>
    <row r="22" spans="1:9" ht="22.5" customHeight="1">
      <c r="A22" s="66">
        <v>3</v>
      </c>
      <c r="B22" s="26" t="s">
        <v>122</v>
      </c>
      <c r="C22" s="66" t="s">
        <v>20</v>
      </c>
      <c r="D22" s="3">
        <v>204</v>
      </c>
      <c r="E22" s="18"/>
      <c r="F22" s="5">
        <f t="shared" si="3"/>
        <v>0</v>
      </c>
      <c r="G22" s="18"/>
      <c r="H22" s="5"/>
      <c r="I22" s="5">
        <f t="shared" si="4"/>
        <v>0</v>
      </c>
    </row>
    <row r="23" spans="1:9" ht="22.5" customHeight="1">
      <c r="A23" s="66">
        <v>4</v>
      </c>
      <c r="B23" s="26" t="s">
        <v>123</v>
      </c>
      <c r="C23" s="66" t="s">
        <v>20</v>
      </c>
      <c r="D23" s="3">
        <v>140</v>
      </c>
      <c r="E23" s="18"/>
      <c r="F23" s="5">
        <f t="shared" si="3"/>
        <v>0</v>
      </c>
      <c r="G23" s="18"/>
      <c r="H23" s="5"/>
      <c r="I23" s="5">
        <f t="shared" si="4"/>
        <v>0</v>
      </c>
    </row>
    <row r="24" spans="1:9" ht="22.5" customHeight="1">
      <c r="A24" s="66">
        <v>5</v>
      </c>
      <c r="B24" s="26" t="s">
        <v>124</v>
      </c>
      <c r="C24" s="66" t="s">
        <v>20</v>
      </c>
      <c r="D24" s="3">
        <v>52</v>
      </c>
      <c r="E24" s="18"/>
      <c r="F24" s="5">
        <f t="shared" si="3"/>
        <v>0</v>
      </c>
      <c r="G24" s="18"/>
      <c r="H24" s="5"/>
      <c r="I24" s="5">
        <f t="shared" si="4"/>
        <v>0</v>
      </c>
    </row>
    <row r="25" spans="1:9" ht="22.5" customHeight="1">
      <c r="A25" s="66">
        <v>6</v>
      </c>
      <c r="B25" s="26" t="s">
        <v>125</v>
      </c>
      <c r="C25" s="66" t="s">
        <v>20</v>
      </c>
      <c r="D25" s="3">
        <v>52</v>
      </c>
      <c r="E25" s="18"/>
      <c r="F25" s="5">
        <f t="shared" si="3"/>
        <v>0</v>
      </c>
      <c r="G25" s="18"/>
      <c r="H25" s="5"/>
      <c r="I25" s="5">
        <f t="shared" si="4"/>
        <v>0</v>
      </c>
    </row>
    <row r="26" spans="1:9" ht="22.5" customHeight="1">
      <c r="A26" s="66">
        <v>7</v>
      </c>
      <c r="B26" s="26" t="s">
        <v>126</v>
      </c>
      <c r="C26" s="66" t="s">
        <v>20</v>
      </c>
      <c r="D26" s="3">
        <v>30</v>
      </c>
      <c r="E26" s="18"/>
      <c r="F26" s="5">
        <f t="shared" si="3"/>
        <v>0</v>
      </c>
      <c r="G26" s="18"/>
      <c r="H26" s="5"/>
      <c r="I26" s="5">
        <f t="shared" si="4"/>
        <v>0</v>
      </c>
    </row>
    <row r="27" spans="1:9" ht="22.5" customHeight="1">
      <c r="A27" s="66">
        <v>8</v>
      </c>
      <c r="B27" s="26" t="s">
        <v>127</v>
      </c>
      <c r="C27" s="66" t="s">
        <v>20</v>
      </c>
      <c r="D27" s="3">
        <v>28</v>
      </c>
      <c r="E27" s="18"/>
      <c r="F27" s="5">
        <f t="shared" si="3"/>
        <v>0</v>
      </c>
      <c r="G27" s="18"/>
      <c r="H27" s="5"/>
      <c r="I27" s="5">
        <f t="shared" si="4"/>
        <v>0</v>
      </c>
    </row>
    <row r="28" spans="1:9" ht="22.5" customHeight="1">
      <c r="A28" s="66">
        <v>9</v>
      </c>
      <c r="B28" s="26" t="s">
        <v>128</v>
      </c>
      <c r="C28" s="66" t="s">
        <v>42</v>
      </c>
      <c r="D28" s="3">
        <v>1632</v>
      </c>
      <c r="E28" s="18"/>
      <c r="F28" s="5">
        <f t="shared" si="3"/>
        <v>0</v>
      </c>
      <c r="G28" s="18"/>
      <c r="H28" s="5"/>
      <c r="I28" s="5">
        <f t="shared" si="4"/>
        <v>0</v>
      </c>
    </row>
    <row r="29" spans="1:9" ht="22.5" customHeight="1">
      <c r="A29" s="66">
        <v>10</v>
      </c>
      <c r="B29" s="26" t="s">
        <v>129</v>
      </c>
      <c r="C29" s="66" t="s">
        <v>42</v>
      </c>
      <c r="D29" s="3">
        <v>194</v>
      </c>
      <c r="E29" s="18"/>
      <c r="F29" s="5">
        <f t="shared" si="3"/>
        <v>0</v>
      </c>
      <c r="G29" s="18"/>
      <c r="H29" s="5"/>
      <c r="I29" s="5">
        <f t="shared" si="4"/>
        <v>0</v>
      </c>
    </row>
    <row r="30" spans="1:9" ht="22.5" customHeight="1">
      <c r="A30" s="66">
        <v>11</v>
      </c>
      <c r="B30" s="26" t="s">
        <v>130</v>
      </c>
      <c r="C30" s="66" t="s">
        <v>42</v>
      </c>
      <c r="D30" s="3">
        <v>98</v>
      </c>
      <c r="E30" s="18"/>
      <c r="F30" s="5">
        <f t="shared" si="3"/>
        <v>0</v>
      </c>
      <c r="G30" s="18"/>
      <c r="H30" s="5"/>
      <c r="I30" s="5">
        <f t="shared" si="4"/>
        <v>0</v>
      </c>
    </row>
    <row r="31" spans="1:9" ht="22.5" customHeight="1">
      <c r="A31" s="66">
        <v>12</v>
      </c>
      <c r="B31" s="26" t="s">
        <v>131</v>
      </c>
      <c r="C31" s="66" t="s">
        <v>42</v>
      </c>
      <c r="D31" s="3">
        <v>32</v>
      </c>
      <c r="E31" s="18"/>
      <c r="F31" s="5">
        <f t="shared" si="3"/>
        <v>0</v>
      </c>
      <c r="G31" s="18"/>
      <c r="H31" s="5"/>
      <c r="I31" s="5">
        <f t="shared" si="4"/>
        <v>0</v>
      </c>
    </row>
    <row r="32" spans="1:9" ht="22.5" customHeight="1">
      <c r="A32" s="66">
        <v>13</v>
      </c>
      <c r="B32" s="26" t="s">
        <v>132</v>
      </c>
      <c r="C32" s="66" t="s">
        <v>42</v>
      </c>
      <c r="D32" s="3">
        <v>4</v>
      </c>
      <c r="E32" s="18"/>
      <c r="F32" s="5">
        <f t="shared" si="3"/>
        <v>0</v>
      </c>
      <c r="G32" s="18"/>
      <c r="H32" s="5"/>
      <c r="I32" s="5">
        <f t="shared" si="4"/>
        <v>0</v>
      </c>
    </row>
    <row r="33" spans="1:9" ht="22.5" customHeight="1">
      <c r="A33" s="66">
        <v>14</v>
      </c>
      <c r="B33" s="26" t="s">
        <v>133</v>
      </c>
      <c r="C33" s="66" t="s">
        <v>42</v>
      </c>
      <c r="D33" s="3">
        <v>98</v>
      </c>
      <c r="E33" s="18"/>
      <c r="F33" s="5">
        <f t="shared" si="3"/>
        <v>0</v>
      </c>
      <c r="G33" s="18"/>
      <c r="H33" s="5"/>
      <c r="I33" s="5">
        <f t="shared" si="4"/>
        <v>0</v>
      </c>
    </row>
    <row r="34" spans="1:9" ht="9.75" customHeight="1">
      <c r="A34" s="45"/>
      <c r="B34" s="26"/>
      <c r="C34" s="45"/>
      <c r="D34" s="3"/>
      <c r="E34" s="18"/>
      <c r="F34" s="5"/>
      <c r="G34" s="18"/>
      <c r="H34" s="5"/>
      <c r="I34" s="5"/>
    </row>
    <row r="35" spans="1:13" ht="36.75" customHeight="1">
      <c r="A35" s="45">
        <v>15</v>
      </c>
      <c r="B35" s="26" t="s">
        <v>78</v>
      </c>
      <c r="C35" s="45" t="s">
        <v>48</v>
      </c>
      <c r="D35" s="4">
        <v>298</v>
      </c>
      <c r="E35" s="18"/>
      <c r="F35" s="5"/>
      <c r="G35" s="18"/>
      <c r="H35" s="5">
        <f>G35*D35</f>
        <v>0</v>
      </c>
      <c r="I35" s="5">
        <f>F35+H35</f>
        <v>0</v>
      </c>
      <c r="J35" s="35"/>
      <c r="K35" s="21"/>
      <c r="L35" s="21"/>
      <c r="M35" s="1"/>
    </row>
    <row r="36" spans="1:13" ht="4.5" customHeight="1">
      <c r="A36" s="45"/>
      <c r="B36" s="26"/>
      <c r="C36" s="45"/>
      <c r="D36" s="4"/>
      <c r="E36" s="18"/>
      <c r="F36" s="5"/>
      <c r="G36" s="18"/>
      <c r="H36" s="5"/>
      <c r="I36" s="5"/>
      <c r="J36" s="35"/>
      <c r="K36" s="21"/>
      <c r="L36" s="21"/>
      <c r="M36" s="1"/>
    </row>
    <row r="37" spans="1:9" ht="27.75" customHeight="1">
      <c r="A37" s="45"/>
      <c r="B37" s="27" t="s">
        <v>16</v>
      </c>
      <c r="C37" s="45"/>
      <c r="D37" s="3"/>
      <c r="E37" s="4"/>
      <c r="F37" s="5">
        <f>SUM(F20:F36)</f>
        <v>0</v>
      </c>
      <c r="G37" s="4"/>
      <c r="H37" s="5">
        <f>SUM(H20:H36)</f>
        <v>0</v>
      </c>
      <c r="I37" s="5">
        <f>F37+H37</f>
        <v>0</v>
      </c>
    </row>
    <row r="38" spans="1:9" ht="26.25" customHeight="1">
      <c r="A38" s="153" t="s">
        <v>316</v>
      </c>
      <c r="B38" s="154"/>
      <c r="C38" s="154"/>
      <c r="D38" s="154"/>
      <c r="E38" s="154"/>
      <c r="F38" s="154"/>
      <c r="G38" s="154"/>
      <c r="H38" s="154"/>
      <c r="I38" s="155"/>
    </row>
    <row r="39" spans="1:9" ht="42.75" customHeight="1">
      <c r="A39" s="105">
        <v>1</v>
      </c>
      <c r="B39" s="26" t="s">
        <v>317</v>
      </c>
      <c r="C39" s="105" t="s">
        <v>306</v>
      </c>
      <c r="D39" s="3">
        <v>24</v>
      </c>
      <c r="E39" s="18"/>
      <c r="F39" s="5">
        <f>E39*D39</f>
        <v>0</v>
      </c>
      <c r="G39" s="18"/>
      <c r="H39" s="5">
        <f>G39*D39</f>
        <v>0</v>
      </c>
      <c r="I39" s="5">
        <f>F39+H39</f>
        <v>0</v>
      </c>
    </row>
    <row r="40" spans="1:9" ht="6" customHeight="1">
      <c r="A40" s="66"/>
      <c r="B40" s="26"/>
      <c r="C40" s="66"/>
      <c r="D40" s="4"/>
      <c r="E40" s="18"/>
      <c r="F40" s="5"/>
      <c r="G40" s="18"/>
      <c r="H40" s="5"/>
      <c r="I40" s="5"/>
    </row>
    <row r="41" spans="1:9" ht="27.75" customHeight="1">
      <c r="A41" s="66"/>
      <c r="B41" s="27" t="s">
        <v>17</v>
      </c>
      <c r="C41" s="66"/>
      <c r="D41" s="3"/>
      <c r="E41" s="4"/>
      <c r="F41" s="5">
        <f>SUM(F39:F40)</f>
        <v>0</v>
      </c>
      <c r="G41" s="4"/>
      <c r="H41" s="5">
        <f>SUM(H39:H40)</f>
        <v>0</v>
      </c>
      <c r="I41" s="5">
        <f>F41+H41</f>
        <v>0</v>
      </c>
    </row>
    <row r="42" spans="1:9" ht="6" customHeight="1">
      <c r="A42" s="166"/>
      <c r="B42" s="167"/>
      <c r="C42" s="167"/>
      <c r="D42" s="167"/>
      <c r="E42" s="167"/>
      <c r="F42" s="167"/>
      <c r="G42" s="167"/>
      <c r="H42" s="167"/>
      <c r="I42" s="168"/>
    </row>
    <row r="43" spans="1:9" ht="26.25" customHeight="1">
      <c r="A43" s="45"/>
      <c r="B43" s="27" t="s">
        <v>119</v>
      </c>
      <c r="C43" s="45"/>
      <c r="D43" s="3"/>
      <c r="E43" s="4"/>
      <c r="F43" s="5">
        <f>F41+F37+F18</f>
        <v>0</v>
      </c>
      <c r="G43" s="4"/>
      <c r="H43" s="5">
        <f>H41+H37+H18</f>
        <v>0</v>
      </c>
      <c r="I43" s="5">
        <f>F43+H43</f>
        <v>0</v>
      </c>
    </row>
    <row r="44" spans="1:9" ht="33.75" customHeight="1">
      <c r="A44" s="76"/>
      <c r="B44" s="28" t="s">
        <v>147</v>
      </c>
      <c r="C44" s="22">
        <v>0</v>
      </c>
      <c r="D44" s="3"/>
      <c r="E44" s="4"/>
      <c r="F44" s="5"/>
      <c r="G44" s="4"/>
      <c r="H44" s="23"/>
      <c r="I44" s="5">
        <f>F43*C44</f>
        <v>0</v>
      </c>
    </row>
    <row r="45" spans="1:9" ht="25.5" customHeight="1">
      <c r="A45" s="76"/>
      <c r="B45" s="28" t="s">
        <v>13</v>
      </c>
      <c r="C45" s="76"/>
      <c r="D45" s="3"/>
      <c r="E45" s="4"/>
      <c r="F45" s="5"/>
      <c r="G45" s="4"/>
      <c r="H45" s="23"/>
      <c r="I45" s="5">
        <f>I43+I44</f>
        <v>0</v>
      </c>
    </row>
    <row r="46" spans="1:9" ht="25.5" customHeight="1">
      <c r="A46" s="76"/>
      <c r="B46" s="28" t="s">
        <v>146</v>
      </c>
      <c r="C46" s="22">
        <v>0</v>
      </c>
      <c r="D46" s="3"/>
      <c r="E46" s="4"/>
      <c r="F46" s="5"/>
      <c r="G46" s="4"/>
      <c r="H46" s="23"/>
      <c r="I46" s="5">
        <f>I45*C46</f>
        <v>0</v>
      </c>
    </row>
    <row r="47" spans="1:9" ht="25.5" customHeight="1">
      <c r="A47" s="76"/>
      <c r="B47" s="28" t="s">
        <v>13</v>
      </c>
      <c r="C47" s="76"/>
      <c r="D47" s="3"/>
      <c r="E47" s="4"/>
      <c r="F47" s="5"/>
      <c r="G47" s="4"/>
      <c r="H47" s="23"/>
      <c r="I47" s="5">
        <f>I45+I46</f>
        <v>0</v>
      </c>
    </row>
    <row r="48" spans="1:9" ht="25.5" customHeight="1">
      <c r="A48" s="76"/>
      <c r="B48" s="28" t="s">
        <v>93</v>
      </c>
      <c r="C48" s="24">
        <v>0</v>
      </c>
      <c r="D48" s="3"/>
      <c r="E48" s="4"/>
      <c r="F48" s="5"/>
      <c r="G48" s="4"/>
      <c r="H48" s="23"/>
      <c r="I48" s="5">
        <f>I47*C48</f>
        <v>0</v>
      </c>
    </row>
    <row r="49" spans="1:9" ht="25.5" customHeight="1">
      <c r="A49" s="76"/>
      <c r="B49" s="28" t="s">
        <v>2</v>
      </c>
      <c r="C49" s="76"/>
      <c r="D49" s="3"/>
      <c r="E49" s="4"/>
      <c r="F49" s="5"/>
      <c r="G49" s="4"/>
      <c r="H49" s="23"/>
      <c r="I49" s="5">
        <f>I48+I47</f>
        <v>0</v>
      </c>
    </row>
    <row r="50" spans="1:11" ht="25.5" customHeight="1">
      <c r="A50" s="76"/>
      <c r="B50" s="28" t="s">
        <v>94</v>
      </c>
      <c r="C50" s="24">
        <v>0</v>
      </c>
      <c r="D50" s="3"/>
      <c r="E50" s="4"/>
      <c r="F50" s="5"/>
      <c r="G50" s="4"/>
      <c r="H50" s="23"/>
      <c r="I50" s="5">
        <f>I49*C50</f>
        <v>0</v>
      </c>
      <c r="K50" s="30">
        <f>ნაკრები!D15*0.12</f>
        <v>0</v>
      </c>
    </row>
    <row r="51" spans="1:9" ht="25.5" customHeight="1">
      <c r="A51" s="76"/>
      <c r="B51" s="28" t="s">
        <v>2</v>
      </c>
      <c r="C51" s="76"/>
      <c r="D51" s="3"/>
      <c r="E51" s="4"/>
      <c r="F51" s="5"/>
      <c r="G51" s="4"/>
      <c r="H51" s="23"/>
      <c r="I51" s="5">
        <f>I50+I49</f>
        <v>0</v>
      </c>
    </row>
    <row r="52" spans="1:9" ht="25.5" customHeight="1">
      <c r="A52" s="76"/>
      <c r="B52" s="28" t="s">
        <v>95</v>
      </c>
      <c r="C52" s="24">
        <v>0.18</v>
      </c>
      <c r="D52" s="3"/>
      <c r="E52" s="4"/>
      <c r="F52" s="5"/>
      <c r="G52" s="4"/>
      <c r="H52" s="23"/>
      <c r="I52" s="5">
        <f>I51*C52</f>
        <v>0</v>
      </c>
    </row>
    <row r="53" spans="1:9" ht="25.5" customHeight="1">
      <c r="A53" s="76"/>
      <c r="B53" s="28" t="s">
        <v>35</v>
      </c>
      <c r="C53" s="76"/>
      <c r="D53" s="3"/>
      <c r="E53" s="4"/>
      <c r="F53" s="5"/>
      <c r="G53" s="4"/>
      <c r="H53" s="23"/>
      <c r="I53" s="5">
        <f>I52+I51</f>
        <v>0</v>
      </c>
    </row>
  </sheetData>
  <sheetProtection/>
  <mergeCells count="16">
    <mergeCell ref="A42:I42"/>
    <mergeCell ref="G6:H6"/>
    <mergeCell ref="I6:I7"/>
    <mergeCell ref="A9:I9"/>
    <mergeCell ref="A38:I38"/>
    <mergeCell ref="A19:I1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F6"/>
  </mergeCells>
  <printOptions/>
  <pageMargins left="0.32" right="0.25" top="0.25" bottom="0.2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zoomScaleSheetLayoutView="100" zoomScalePageLayoutView="0" workbookViewId="0" topLeftCell="A22">
      <selection activeCell="C36" sqref="C36"/>
    </sheetView>
  </sheetViews>
  <sheetFormatPr defaultColWidth="9.140625" defaultRowHeight="12.75"/>
  <cols>
    <col min="1" max="1" width="3.57421875" style="1" customWidth="1"/>
    <col min="2" max="2" width="37.57421875" style="1" customWidth="1"/>
    <col min="3" max="3" width="8.421875" style="1" customWidth="1"/>
    <col min="4" max="4" width="6.8515625" style="1" customWidth="1"/>
    <col min="5" max="5" width="8.28125" style="1" customWidth="1"/>
    <col min="6" max="6" width="9.7109375" style="1" customWidth="1"/>
    <col min="7" max="7" width="8.2812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1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1" customHeight="1">
      <c r="A3" s="158" t="s">
        <v>82</v>
      </c>
      <c r="B3" s="158"/>
      <c r="C3" s="158"/>
      <c r="D3" s="158"/>
      <c r="E3" s="158"/>
      <c r="F3" s="158"/>
      <c r="G3" s="158"/>
      <c r="H3" s="158"/>
      <c r="I3" s="158"/>
    </row>
    <row r="4" spans="1:9" ht="21" customHeight="1">
      <c r="A4" s="159" t="s">
        <v>342</v>
      </c>
      <c r="B4" s="159"/>
      <c r="C4" s="159"/>
      <c r="D4" s="159"/>
      <c r="E4" s="159"/>
      <c r="F4" s="159"/>
      <c r="G4" s="159"/>
      <c r="H4" s="159"/>
      <c r="I4" s="159"/>
    </row>
    <row r="5" spans="1:9" ht="7.5" customHeight="1">
      <c r="A5" s="133"/>
      <c r="B5" s="133"/>
      <c r="C5" s="133"/>
      <c r="D5" s="133"/>
      <c r="E5" s="133"/>
      <c r="F5" s="133"/>
      <c r="G5" s="133"/>
      <c r="H5" s="133"/>
      <c r="I5" s="133"/>
    </row>
    <row r="6" spans="1:9" ht="18.7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68" t="s">
        <v>9</v>
      </c>
      <c r="F7" s="68" t="s">
        <v>1</v>
      </c>
      <c r="G7" s="68" t="s">
        <v>9</v>
      </c>
      <c r="H7" s="68" t="s">
        <v>1</v>
      </c>
      <c r="I7" s="162"/>
    </row>
    <row r="8" spans="1:9" ht="14.2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</row>
    <row r="9" spans="1:9" ht="27.75" customHeight="1">
      <c r="A9" s="153" t="s">
        <v>343</v>
      </c>
      <c r="B9" s="154"/>
      <c r="C9" s="154"/>
      <c r="D9" s="154"/>
      <c r="E9" s="154"/>
      <c r="F9" s="154"/>
      <c r="G9" s="154"/>
      <c r="H9" s="154"/>
      <c r="I9" s="155"/>
    </row>
    <row r="10" spans="1:13" ht="33.75" customHeight="1">
      <c r="A10" s="69">
        <v>1</v>
      </c>
      <c r="B10" s="107" t="s">
        <v>257</v>
      </c>
      <c r="C10" s="110" t="s">
        <v>263</v>
      </c>
      <c r="D10" s="144">
        <v>1</v>
      </c>
      <c r="E10" s="29"/>
      <c r="F10" s="5">
        <f aca="true" t="shared" si="0" ref="F10:F15">E10*D10</f>
        <v>0</v>
      </c>
      <c r="G10" s="18"/>
      <c r="H10" s="5">
        <f>G10*D10</f>
        <v>0</v>
      </c>
      <c r="I10" s="5">
        <f aca="true" t="shared" si="1" ref="I10:I15">F10+H10</f>
        <v>0</v>
      </c>
      <c r="J10" s="21"/>
      <c r="K10" s="21"/>
      <c r="L10" s="21"/>
      <c r="M10" s="1"/>
    </row>
    <row r="11" spans="1:13" ht="33.75" customHeight="1">
      <c r="A11" s="69">
        <v>2</v>
      </c>
      <c r="B11" s="108" t="s">
        <v>258</v>
      </c>
      <c r="C11" s="111" t="s">
        <v>264</v>
      </c>
      <c r="D11" s="144">
        <v>211</v>
      </c>
      <c r="E11" s="104"/>
      <c r="F11" s="5">
        <f t="shared" si="0"/>
        <v>0</v>
      </c>
      <c r="G11" s="18"/>
      <c r="H11" s="5">
        <f>G11*D11</f>
        <v>0</v>
      </c>
      <c r="I11" s="5">
        <f t="shared" si="1"/>
        <v>0</v>
      </c>
      <c r="J11" s="21"/>
      <c r="K11" s="21"/>
      <c r="L11" s="21"/>
      <c r="M11" s="1"/>
    </row>
    <row r="12" spans="1:13" ht="33.75" customHeight="1">
      <c r="A12" s="69">
        <v>3</v>
      </c>
      <c r="B12" s="108" t="s">
        <v>259</v>
      </c>
      <c r="C12" s="112" t="s">
        <v>103</v>
      </c>
      <c r="D12" s="144">
        <v>18</v>
      </c>
      <c r="E12" s="104"/>
      <c r="F12" s="5">
        <f t="shared" si="0"/>
        <v>0</v>
      </c>
      <c r="G12" s="18"/>
      <c r="H12" s="5">
        <f>G12*D12</f>
        <v>0</v>
      </c>
      <c r="I12" s="5">
        <f t="shared" si="1"/>
        <v>0</v>
      </c>
      <c r="J12" s="21"/>
      <c r="K12" s="21"/>
      <c r="L12" s="21"/>
      <c r="M12" s="1"/>
    </row>
    <row r="13" spans="1:13" ht="33.75" customHeight="1">
      <c r="A13" s="69">
        <v>4</v>
      </c>
      <c r="B13" s="109" t="s">
        <v>260</v>
      </c>
      <c r="C13" s="112" t="s">
        <v>263</v>
      </c>
      <c r="D13" s="144">
        <v>211</v>
      </c>
      <c r="E13" s="113"/>
      <c r="F13" s="5">
        <f t="shared" si="0"/>
        <v>0</v>
      </c>
      <c r="G13" s="18"/>
      <c r="H13" s="5"/>
      <c r="I13" s="5">
        <f t="shared" si="1"/>
        <v>0</v>
      </c>
      <c r="J13" s="21"/>
      <c r="K13" s="21"/>
      <c r="L13" s="21"/>
      <c r="M13" s="1"/>
    </row>
    <row r="14" spans="1:13" ht="33.75" customHeight="1">
      <c r="A14" s="69">
        <v>5</v>
      </c>
      <c r="B14" s="108" t="s">
        <v>261</v>
      </c>
      <c r="C14" s="110" t="s">
        <v>263</v>
      </c>
      <c r="D14" s="144">
        <v>1</v>
      </c>
      <c r="E14" s="104"/>
      <c r="F14" s="5">
        <f t="shared" si="0"/>
        <v>0</v>
      </c>
      <c r="G14" s="18"/>
      <c r="H14" s="5">
        <f>G14*D14</f>
        <v>0</v>
      </c>
      <c r="I14" s="5">
        <f t="shared" si="1"/>
        <v>0</v>
      </c>
      <c r="J14" s="21"/>
      <c r="K14" s="21"/>
      <c r="L14" s="21"/>
      <c r="M14" s="1"/>
    </row>
    <row r="15" spans="1:13" ht="21" customHeight="1">
      <c r="A15" s="69">
        <v>6</v>
      </c>
      <c r="B15" s="108" t="s">
        <v>262</v>
      </c>
      <c r="C15" s="110" t="s">
        <v>263</v>
      </c>
      <c r="D15" s="144">
        <v>1</v>
      </c>
      <c r="E15" s="104"/>
      <c r="F15" s="5">
        <f t="shared" si="0"/>
        <v>0</v>
      </c>
      <c r="G15" s="18"/>
      <c r="H15" s="5">
        <f>G15*D15</f>
        <v>0</v>
      </c>
      <c r="I15" s="5">
        <f t="shared" si="1"/>
        <v>0</v>
      </c>
      <c r="J15" s="21"/>
      <c r="K15" s="21"/>
      <c r="L15" s="21"/>
      <c r="M15" s="1"/>
    </row>
    <row r="16" spans="1:13" ht="9.75" customHeight="1">
      <c r="A16" s="69"/>
      <c r="B16" s="26"/>
      <c r="C16" s="69"/>
      <c r="D16" s="3"/>
      <c r="E16" s="29"/>
      <c r="F16" s="5"/>
      <c r="G16" s="29"/>
      <c r="H16" s="5"/>
      <c r="I16" s="5"/>
      <c r="J16" s="21"/>
      <c r="K16" s="21"/>
      <c r="L16" s="21"/>
      <c r="M16" s="1"/>
    </row>
    <row r="17" spans="1:9" ht="27" customHeight="1">
      <c r="A17" s="69"/>
      <c r="B17" s="27" t="s">
        <v>15</v>
      </c>
      <c r="C17" s="69"/>
      <c r="D17" s="3"/>
      <c r="E17" s="4"/>
      <c r="F17" s="5">
        <f>SUM(F10:F16)</f>
        <v>0</v>
      </c>
      <c r="G17" s="4"/>
      <c r="H17" s="5">
        <f>SUM(H10:H16)</f>
        <v>0</v>
      </c>
      <c r="I17" s="5">
        <f>F17+H17</f>
        <v>0</v>
      </c>
    </row>
    <row r="18" spans="1:9" ht="27.75" customHeight="1">
      <c r="A18" s="153" t="s">
        <v>344</v>
      </c>
      <c r="B18" s="154"/>
      <c r="C18" s="154"/>
      <c r="D18" s="154"/>
      <c r="E18" s="154"/>
      <c r="F18" s="154"/>
      <c r="G18" s="154"/>
      <c r="H18" s="154"/>
      <c r="I18" s="155"/>
    </row>
    <row r="19" spans="1:13" ht="32.25" customHeight="1">
      <c r="A19" s="69">
        <v>1</v>
      </c>
      <c r="B19" s="26" t="s">
        <v>140</v>
      </c>
      <c r="C19" s="69" t="s">
        <v>42</v>
      </c>
      <c r="D19" s="4">
        <v>108</v>
      </c>
      <c r="E19" s="18"/>
      <c r="F19" s="5">
        <f>E19*D19</f>
        <v>0</v>
      </c>
      <c r="G19" s="18"/>
      <c r="H19" s="5">
        <f>G19*D19</f>
        <v>0</v>
      </c>
      <c r="I19" s="5">
        <f>F19+H19</f>
        <v>0</v>
      </c>
      <c r="J19" s="21"/>
      <c r="K19" s="21"/>
      <c r="L19" s="21"/>
      <c r="M19" s="1"/>
    </row>
    <row r="20" spans="1:13" ht="25.5" customHeight="1">
      <c r="A20" s="69">
        <v>2</v>
      </c>
      <c r="B20" s="54" t="s">
        <v>115</v>
      </c>
      <c r="C20" s="69" t="s">
        <v>42</v>
      </c>
      <c r="D20" s="4">
        <v>198</v>
      </c>
      <c r="E20" s="18"/>
      <c r="F20" s="5">
        <f>E20*D20</f>
        <v>0</v>
      </c>
      <c r="G20" s="18"/>
      <c r="H20" s="5">
        <f>G20*D20</f>
        <v>0</v>
      </c>
      <c r="I20" s="5">
        <f>F20+H20</f>
        <v>0</v>
      </c>
      <c r="J20" s="21"/>
      <c r="K20" s="21"/>
      <c r="L20" s="21"/>
      <c r="M20" s="1"/>
    </row>
    <row r="21" spans="1:13" ht="51" customHeight="1">
      <c r="A21" s="69">
        <v>3</v>
      </c>
      <c r="B21" s="54" t="s">
        <v>346</v>
      </c>
      <c r="C21" s="69" t="s">
        <v>5</v>
      </c>
      <c r="D21" s="4">
        <v>132</v>
      </c>
      <c r="E21" s="18"/>
      <c r="F21" s="5">
        <f>E21*D21</f>
        <v>0</v>
      </c>
      <c r="G21" s="18"/>
      <c r="H21" s="5">
        <f>G21*D21</f>
        <v>0</v>
      </c>
      <c r="I21" s="5">
        <f>F21+H21</f>
        <v>0</v>
      </c>
      <c r="J21" s="21"/>
      <c r="K21" s="21"/>
      <c r="L21" s="21"/>
      <c r="M21" s="1"/>
    </row>
    <row r="22" spans="1:13" ht="25.5" customHeight="1">
      <c r="A22" s="69">
        <v>4</v>
      </c>
      <c r="B22" s="54" t="s">
        <v>141</v>
      </c>
      <c r="C22" s="69" t="s">
        <v>6</v>
      </c>
      <c r="D22" s="4">
        <v>48</v>
      </c>
      <c r="E22" s="18"/>
      <c r="F22" s="5">
        <f>E22*D22</f>
        <v>0</v>
      </c>
      <c r="G22" s="18"/>
      <c r="H22" s="5">
        <f>G22*D22</f>
        <v>0</v>
      </c>
      <c r="I22" s="5">
        <f>F22+H22</f>
        <v>0</v>
      </c>
      <c r="J22" s="21"/>
      <c r="K22" s="21"/>
      <c r="L22" s="21"/>
      <c r="M22" s="1"/>
    </row>
    <row r="23" spans="1:13" ht="25.5" customHeight="1">
      <c r="A23" s="69">
        <v>5</v>
      </c>
      <c r="B23" s="54" t="s">
        <v>142</v>
      </c>
      <c r="C23" s="69" t="s">
        <v>42</v>
      </c>
      <c r="D23" s="4">
        <v>292</v>
      </c>
      <c r="E23" s="18"/>
      <c r="F23" s="5">
        <f>E23*D23</f>
        <v>0</v>
      </c>
      <c r="G23" s="18"/>
      <c r="H23" s="5">
        <f>G23*D23</f>
        <v>0</v>
      </c>
      <c r="I23" s="5">
        <f>F23+H23</f>
        <v>0</v>
      </c>
      <c r="J23" s="21"/>
      <c r="K23" s="21"/>
      <c r="L23" s="21"/>
      <c r="M23" s="1"/>
    </row>
    <row r="24" spans="1:13" ht="8.25" customHeight="1">
      <c r="A24" s="69"/>
      <c r="B24" s="26"/>
      <c r="C24" s="69"/>
      <c r="D24" s="3"/>
      <c r="E24" s="18"/>
      <c r="F24" s="5"/>
      <c r="G24" s="18"/>
      <c r="H24" s="5"/>
      <c r="I24" s="5"/>
      <c r="J24" s="21"/>
      <c r="K24" s="21"/>
      <c r="L24" s="21"/>
      <c r="M24" s="1"/>
    </row>
    <row r="25" spans="1:9" ht="27" customHeight="1">
      <c r="A25" s="69"/>
      <c r="B25" s="27" t="s">
        <v>16</v>
      </c>
      <c r="C25" s="69"/>
      <c r="D25" s="3"/>
      <c r="E25" s="4"/>
      <c r="F25" s="5">
        <f>SUM(F19:F24)</f>
        <v>0</v>
      </c>
      <c r="G25" s="4"/>
      <c r="H25" s="5">
        <f>SUM(H19:H24)</f>
        <v>0</v>
      </c>
      <c r="I25" s="5">
        <f>F25+H25</f>
        <v>0</v>
      </c>
    </row>
    <row r="26" spans="1:9" ht="9" customHeight="1">
      <c r="A26" s="70"/>
      <c r="B26" s="71"/>
      <c r="C26" s="71"/>
      <c r="D26" s="71"/>
      <c r="E26" s="71"/>
      <c r="F26" s="71"/>
      <c r="G26" s="71"/>
      <c r="H26" s="71"/>
      <c r="I26" s="72"/>
    </row>
    <row r="27" spans="1:9" ht="29.25" customHeight="1">
      <c r="A27" s="69"/>
      <c r="B27" s="27" t="s">
        <v>345</v>
      </c>
      <c r="C27" s="69"/>
      <c r="D27" s="3"/>
      <c r="E27" s="4"/>
      <c r="F27" s="5">
        <f>F17+F25</f>
        <v>0</v>
      </c>
      <c r="G27" s="4"/>
      <c r="H27" s="5">
        <f>H17+H25</f>
        <v>0</v>
      </c>
      <c r="I27" s="5">
        <f>F27+H27</f>
        <v>0</v>
      </c>
    </row>
    <row r="28" spans="1:9" ht="33.75" customHeight="1">
      <c r="A28" s="76"/>
      <c r="B28" s="28" t="s">
        <v>147</v>
      </c>
      <c r="C28" s="22">
        <v>0</v>
      </c>
      <c r="D28" s="3"/>
      <c r="E28" s="4"/>
      <c r="F28" s="5"/>
      <c r="G28" s="4"/>
      <c r="H28" s="23"/>
      <c r="I28" s="5">
        <f>F27*C28</f>
        <v>0</v>
      </c>
    </row>
    <row r="29" spans="1:9" ht="25.5" customHeight="1">
      <c r="A29" s="76"/>
      <c r="B29" s="28" t="s">
        <v>13</v>
      </c>
      <c r="C29" s="76"/>
      <c r="D29" s="3"/>
      <c r="E29" s="4"/>
      <c r="F29" s="5"/>
      <c r="G29" s="4"/>
      <c r="H29" s="23"/>
      <c r="I29" s="5">
        <f>I27+I28</f>
        <v>0</v>
      </c>
    </row>
    <row r="30" spans="1:9" ht="25.5" customHeight="1">
      <c r="A30" s="76"/>
      <c r="B30" s="28" t="s">
        <v>146</v>
      </c>
      <c r="C30" s="22">
        <v>0</v>
      </c>
      <c r="D30" s="3"/>
      <c r="E30" s="4"/>
      <c r="F30" s="5"/>
      <c r="G30" s="4"/>
      <c r="H30" s="23"/>
      <c r="I30" s="5">
        <f>I29*C30</f>
        <v>0</v>
      </c>
    </row>
    <row r="31" spans="1:9" ht="25.5" customHeight="1">
      <c r="A31" s="76"/>
      <c r="B31" s="28" t="s">
        <v>13</v>
      </c>
      <c r="C31" s="76"/>
      <c r="D31" s="3"/>
      <c r="E31" s="4"/>
      <c r="F31" s="5"/>
      <c r="G31" s="4"/>
      <c r="H31" s="23"/>
      <c r="I31" s="5">
        <f>I29+I30</f>
        <v>0</v>
      </c>
    </row>
    <row r="32" spans="1:9" ht="25.5" customHeight="1">
      <c r="A32" s="76"/>
      <c r="B32" s="28" t="s">
        <v>93</v>
      </c>
      <c r="C32" s="24">
        <v>0</v>
      </c>
      <c r="D32" s="3"/>
      <c r="E32" s="4"/>
      <c r="F32" s="5"/>
      <c r="G32" s="4"/>
      <c r="H32" s="23"/>
      <c r="I32" s="5">
        <f>I31*C32</f>
        <v>0</v>
      </c>
    </row>
    <row r="33" spans="1:9" ht="25.5" customHeight="1">
      <c r="A33" s="76"/>
      <c r="B33" s="28" t="s">
        <v>2</v>
      </c>
      <c r="C33" s="76"/>
      <c r="D33" s="3"/>
      <c r="E33" s="4"/>
      <c r="F33" s="5"/>
      <c r="G33" s="4"/>
      <c r="H33" s="23"/>
      <c r="I33" s="5">
        <f>I32+I31</f>
        <v>0</v>
      </c>
    </row>
    <row r="34" spans="1:9" ht="25.5" customHeight="1">
      <c r="A34" s="76"/>
      <c r="B34" s="28" t="s">
        <v>94</v>
      </c>
      <c r="C34" s="24">
        <v>0</v>
      </c>
      <c r="D34" s="3"/>
      <c r="E34" s="4"/>
      <c r="F34" s="5"/>
      <c r="G34" s="4"/>
      <c r="H34" s="23"/>
      <c r="I34" s="5">
        <f>I33*C34</f>
        <v>0</v>
      </c>
    </row>
    <row r="35" spans="1:9" ht="25.5" customHeight="1">
      <c r="A35" s="76"/>
      <c r="B35" s="28" t="s">
        <v>2</v>
      </c>
      <c r="C35" s="76"/>
      <c r="D35" s="3"/>
      <c r="E35" s="4"/>
      <c r="F35" s="5"/>
      <c r="G35" s="4"/>
      <c r="H35" s="23"/>
      <c r="I35" s="5">
        <f>I34+I33</f>
        <v>0</v>
      </c>
    </row>
    <row r="36" spans="1:9" ht="25.5" customHeight="1">
      <c r="A36" s="76"/>
      <c r="B36" s="28" t="s">
        <v>95</v>
      </c>
      <c r="C36" s="24">
        <v>0.18</v>
      </c>
      <c r="D36" s="3"/>
      <c r="E36" s="4"/>
      <c r="F36" s="5"/>
      <c r="G36" s="4"/>
      <c r="H36" s="23"/>
      <c r="I36" s="5">
        <f>I35*C36</f>
        <v>0</v>
      </c>
    </row>
    <row r="37" spans="1:9" ht="25.5" customHeight="1">
      <c r="A37" s="76"/>
      <c r="B37" s="28" t="s">
        <v>35</v>
      </c>
      <c r="C37" s="76"/>
      <c r="D37" s="3"/>
      <c r="E37" s="4"/>
      <c r="F37" s="5"/>
      <c r="G37" s="4"/>
      <c r="H37" s="23"/>
      <c r="I37" s="5">
        <f>I36+I35</f>
        <v>0</v>
      </c>
    </row>
  </sheetData>
  <sheetProtection/>
  <mergeCells count="13">
    <mergeCell ref="A9:I9"/>
    <mergeCell ref="A18:I18"/>
    <mergeCell ref="A1:I1"/>
    <mergeCell ref="A2:I2"/>
    <mergeCell ref="A3:I3"/>
    <mergeCell ref="A4:I4"/>
    <mergeCell ref="A6:A7"/>
    <mergeCell ref="B6:B7"/>
    <mergeCell ref="C6:C7"/>
    <mergeCell ref="D6:D7"/>
    <mergeCell ref="E6:F6"/>
    <mergeCell ref="G6:H6"/>
    <mergeCell ref="I6:I7"/>
  </mergeCells>
  <printOptions/>
  <pageMargins left="0.25" right="0.25" top="0.25" bottom="0.2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"/>
  <sheetViews>
    <sheetView zoomScaleSheetLayoutView="100" zoomScalePageLayoutView="0" workbookViewId="0" topLeftCell="A21">
      <selection activeCell="C34" sqref="C34"/>
    </sheetView>
  </sheetViews>
  <sheetFormatPr defaultColWidth="9.140625" defaultRowHeight="12.75"/>
  <cols>
    <col min="1" max="1" width="3.57421875" style="1" customWidth="1"/>
    <col min="2" max="2" width="37.57421875" style="1" customWidth="1"/>
    <col min="3" max="3" width="6.57421875" style="1" customWidth="1"/>
    <col min="4" max="4" width="6.421875" style="1" customWidth="1"/>
    <col min="5" max="5" width="7.8515625" style="1" customWidth="1"/>
    <col min="6" max="6" width="9.7109375" style="1" customWidth="1"/>
    <col min="7" max="7" width="7.28125" style="1" customWidth="1"/>
    <col min="8" max="8" width="9.421875" style="1" customWidth="1"/>
    <col min="9" max="9" width="11.421875" style="1" customWidth="1"/>
    <col min="10" max="16384" width="9.140625" style="30" customWidth="1"/>
  </cols>
  <sheetData>
    <row r="1" spans="1:9" ht="21" customHeight="1">
      <c r="A1" s="156" t="s">
        <v>320</v>
      </c>
      <c r="B1" s="156"/>
      <c r="C1" s="156"/>
      <c r="D1" s="156"/>
      <c r="E1" s="156"/>
      <c r="F1" s="156"/>
      <c r="G1" s="156"/>
      <c r="H1" s="156"/>
      <c r="I1" s="156"/>
    </row>
    <row r="2" spans="1:9" ht="20.25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7"/>
    </row>
    <row r="3" spans="1:9" ht="20.25" customHeight="1">
      <c r="A3" s="158" t="s">
        <v>83</v>
      </c>
      <c r="B3" s="158"/>
      <c r="C3" s="158"/>
      <c r="D3" s="158"/>
      <c r="E3" s="158"/>
      <c r="F3" s="158"/>
      <c r="G3" s="158"/>
      <c r="H3" s="158"/>
      <c r="I3" s="158"/>
    </row>
    <row r="4" spans="1:9" ht="20.25" customHeight="1">
      <c r="A4" s="159" t="s">
        <v>107</v>
      </c>
      <c r="B4" s="159"/>
      <c r="C4" s="159"/>
      <c r="D4" s="159"/>
      <c r="E4" s="159"/>
      <c r="F4" s="159"/>
      <c r="G4" s="159"/>
      <c r="H4" s="159"/>
      <c r="I4" s="159"/>
    </row>
    <row r="5" spans="1:9" ht="7.5" customHeight="1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8.75" customHeight="1">
      <c r="A6" s="161" t="s">
        <v>0</v>
      </c>
      <c r="B6" s="162" t="s">
        <v>7</v>
      </c>
      <c r="C6" s="162" t="s">
        <v>11</v>
      </c>
      <c r="D6" s="162" t="s">
        <v>8</v>
      </c>
      <c r="E6" s="162" t="s">
        <v>3</v>
      </c>
      <c r="F6" s="162"/>
      <c r="G6" s="162" t="s">
        <v>4</v>
      </c>
      <c r="H6" s="162"/>
      <c r="I6" s="162" t="s">
        <v>1</v>
      </c>
    </row>
    <row r="7" spans="1:9" ht="30">
      <c r="A7" s="161"/>
      <c r="B7" s="162"/>
      <c r="C7" s="162"/>
      <c r="D7" s="162"/>
      <c r="E7" s="46" t="s">
        <v>9</v>
      </c>
      <c r="F7" s="46" t="s">
        <v>1</v>
      </c>
      <c r="G7" s="46" t="s">
        <v>9</v>
      </c>
      <c r="H7" s="46" t="s">
        <v>1</v>
      </c>
      <c r="I7" s="162"/>
    </row>
    <row r="8" spans="1:9" ht="14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9" ht="27.75" customHeight="1">
      <c r="A9" s="153" t="s">
        <v>208</v>
      </c>
      <c r="B9" s="154"/>
      <c r="C9" s="154"/>
      <c r="D9" s="154"/>
      <c r="E9" s="154"/>
      <c r="F9" s="154"/>
      <c r="G9" s="154"/>
      <c r="H9" s="154"/>
      <c r="I9" s="155"/>
    </row>
    <row r="10" spans="1:13" ht="34.5" customHeight="1">
      <c r="A10" s="82">
        <v>1</v>
      </c>
      <c r="B10" s="83" t="s">
        <v>111</v>
      </c>
      <c r="C10" s="82" t="s">
        <v>42</v>
      </c>
      <c r="D10" s="84">
        <v>1</v>
      </c>
      <c r="E10" s="132"/>
      <c r="F10" s="74"/>
      <c r="G10" s="73"/>
      <c r="H10" s="74"/>
      <c r="I10" s="74">
        <f>F10+H10</f>
        <v>0</v>
      </c>
      <c r="J10" s="21"/>
      <c r="K10" s="21"/>
      <c r="L10" s="21"/>
      <c r="M10" s="1"/>
    </row>
    <row r="11" spans="1:13" ht="6" customHeight="1">
      <c r="A11" s="82"/>
      <c r="B11" s="98"/>
      <c r="C11" s="82"/>
      <c r="D11" s="84"/>
      <c r="E11" s="73"/>
      <c r="F11" s="74"/>
      <c r="G11" s="73"/>
      <c r="H11" s="74"/>
      <c r="I11" s="74"/>
      <c r="J11" s="21"/>
      <c r="K11" s="21"/>
      <c r="L11" s="21"/>
      <c r="M11" s="1"/>
    </row>
    <row r="12" spans="1:9" ht="27" customHeight="1">
      <c r="A12" s="82"/>
      <c r="B12" s="99" t="s">
        <v>15</v>
      </c>
      <c r="C12" s="82"/>
      <c r="D12" s="84"/>
      <c r="E12" s="97"/>
      <c r="F12" s="74">
        <f>SUM(F10:F11)</f>
        <v>0</v>
      </c>
      <c r="G12" s="97"/>
      <c r="H12" s="74">
        <f>SUM(H10:H11)</f>
        <v>0</v>
      </c>
      <c r="I12" s="74">
        <f>F12+H12</f>
        <v>0</v>
      </c>
    </row>
    <row r="13" spans="1:9" ht="9.75" customHeight="1">
      <c r="A13" s="47"/>
      <c r="B13" s="55"/>
      <c r="C13" s="48"/>
      <c r="D13" s="56"/>
      <c r="E13" s="57"/>
      <c r="F13" s="58"/>
      <c r="G13" s="57"/>
      <c r="H13" s="58"/>
      <c r="I13" s="59"/>
    </row>
    <row r="14" spans="1:9" ht="27.75" customHeight="1">
      <c r="A14" s="153" t="s">
        <v>109</v>
      </c>
      <c r="B14" s="154"/>
      <c r="C14" s="154"/>
      <c r="D14" s="154"/>
      <c r="E14" s="154"/>
      <c r="F14" s="154"/>
      <c r="G14" s="154"/>
      <c r="H14" s="154"/>
      <c r="I14" s="155"/>
    </row>
    <row r="15" spans="1:13" ht="48" customHeight="1">
      <c r="A15" s="139">
        <v>1</v>
      </c>
      <c r="B15" s="26" t="s">
        <v>400</v>
      </c>
      <c r="C15" s="139" t="s">
        <v>6</v>
      </c>
      <c r="D15" s="4">
        <f>1.4*22*22</f>
        <v>677.5999999999999</v>
      </c>
      <c r="E15" s="29"/>
      <c r="F15" s="5"/>
      <c r="G15" s="18"/>
      <c r="H15" s="5">
        <f>G15*D15</f>
        <v>0</v>
      </c>
      <c r="I15" s="5">
        <f aca="true" t="shared" si="0" ref="I15:I22">F15+H15</f>
        <v>0</v>
      </c>
      <c r="J15" s="21"/>
      <c r="K15" s="21"/>
      <c r="L15" s="21"/>
      <c r="M15" s="1"/>
    </row>
    <row r="16" spans="1:13" ht="21.75" customHeight="1">
      <c r="A16" s="45"/>
      <c r="B16" s="54" t="s">
        <v>401</v>
      </c>
      <c r="C16" s="76" t="s">
        <v>5</v>
      </c>
      <c r="D16" s="4">
        <f>D15*0.3</f>
        <v>203.27999999999997</v>
      </c>
      <c r="E16" s="29"/>
      <c r="F16" s="5">
        <f>E16*D16</f>
        <v>0</v>
      </c>
      <c r="G16" s="18"/>
      <c r="H16" s="5"/>
      <c r="I16" s="5">
        <f t="shared" si="0"/>
        <v>0</v>
      </c>
      <c r="J16" s="21"/>
      <c r="K16" s="21"/>
      <c r="L16" s="21"/>
      <c r="M16" s="1"/>
    </row>
    <row r="17" spans="1:13" ht="21.75" customHeight="1">
      <c r="A17" s="106"/>
      <c r="B17" s="54" t="s">
        <v>402</v>
      </c>
      <c r="C17" s="106" t="s">
        <v>5</v>
      </c>
      <c r="D17" s="4">
        <f>9.9*24</f>
        <v>237.60000000000002</v>
      </c>
      <c r="E17" s="29"/>
      <c r="F17" s="5">
        <f>E17*D17</f>
        <v>0</v>
      </c>
      <c r="G17" s="18"/>
      <c r="H17" s="5">
        <f>G17*D17</f>
        <v>0</v>
      </c>
      <c r="I17" s="5">
        <f>F17+H17</f>
        <v>0</v>
      </c>
      <c r="J17" s="21"/>
      <c r="K17" s="21"/>
      <c r="L17" s="21"/>
      <c r="M17" s="1"/>
    </row>
    <row r="18" spans="1:13" ht="21.75" customHeight="1">
      <c r="A18" s="45"/>
      <c r="B18" s="54" t="s">
        <v>333</v>
      </c>
      <c r="C18" s="45" t="s">
        <v>5</v>
      </c>
      <c r="D18" s="4">
        <f>D15*0.15</f>
        <v>101.63999999999999</v>
      </c>
      <c r="E18" s="18"/>
      <c r="F18" s="5">
        <f>E18*D18</f>
        <v>0</v>
      </c>
      <c r="G18" s="18"/>
      <c r="H18" s="5"/>
      <c r="I18" s="5">
        <f t="shared" si="0"/>
        <v>0</v>
      </c>
      <c r="J18" s="21"/>
      <c r="K18" s="21"/>
      <c r="L18" s="21"/>
      <c r="M18" s="1"/>
    </row>
    <row r="19" spans="1:13" ht="30" customHeight="1">
      <c r="A19" s="45">
        <v>2</v>
      </c>
      <c r="B19" s="26" t="s">
        <v>210</v>
      </c>
      <c r="C19" s="45" t="s">
        <v>6</v>
      </c>
      <c r="D19" s="4">
        <v>178</v>
      </c>
      <c r="E19" s="29"/>
      <c r="F19" s="5"/>
      <c r="G19" s="18"/>
      <c r="H19" s="5">
        <f>G19*D19</f>
        <v>0</v>
      </c>
      <c r="I19" s="5">
        <f t="shared" si="0"/>
        <v>0</v>
      </c>
      <c r="J19" s="21"/>
      <c r="K19" s="21"/>
      <c r="L19" s="21"/>
      <c r="M19" s="1"/>
    </row>
    <row r="20" spans="1:13" ht="22.5" customHeight="1">
      <c r="A20" s="45"/>
      <c r="B20" s="26" t="s">
        <v>211</v>
      </c>
      <c r="C20" s="45" t="s">
        <v>6</v>
      </c>
      <c r="D20" s="4">
        <f>D19</f>
        <v>178</v>
      </c>
      <c r="E20" s="18"/>
      <c r="F20" s="5">
        <f>E20*D20</f>
        <v>0</v>
      </c>
      <c r="G20" s="18"/>
      <c r="H20" s="5"/>
      <c r="I20" s="5">
        <f t="shared" si="0"/>
        <v>0</v>
      </c>
      <c r="J20" s="21"/>
      <c r="K20" s="21"/>
      <c r="L20" s="21"/>
      <c r="M20" s="1"/>
    </row>
    <row r="21" spans="1:13" ht="38.25" customHeight="1">
      <c r="A21" s="76">
        <v>3</v>
      </c>
      <c r="B21" s="26" t="s">
        <v>207</v>
      </c>
      <c r="C21" s="76" t="s">
        <v>5</v>
      </c>
      <c r="D21" s="4">
        <f>D19*1.5</f>
        <v>267</v>
      </c>
      <c r="E21" s="29"/>
      <c r="F21" s="5"/>
      <c r="G21" s="18"/>
      <c r="H21" s="5">
        <f>G21*D21</f>
        <v>0</v>
      </c>
      <c r="I21" s="5">
        <f t="shared" si="0"/>
        <v>0</v>
      </c>
      <c r="J21" s="21"/>
      <c r="K21" s="21"/>
      <c r="L21" s="21"/>
      <c r="M21" s="1"/>
    </row>
    <row r="22" spans="1:13" ht="33" customHeight="1">
      <c r="A22" s="76"/>
      <c r="B22" s="54" t="s">
        <v>205</v>
      </c>
      <c r="C22" s="76" t="s">
        <v>38</v>
      </c>
      <c r="D22" s="4">
        <f>D21*0.3</f>
        <v>80.1</v>
      </c>
      <c r="E22" s="18"/>
      <c r="F22" s="5">
        <f>E22*D22</f>
        <v>0</v>
      </c>
      <c r="G22" s="18"/>
      <c r="H22" s="5"/>
      <c r="I22" s="5">
        <f t="shared" si="0"/>
        <v>0</v>
      </c>
      <c r="J22" s="21"/>
      <c r="K22" s="21"/>
      <c r="L22" s="21"/>
      <c r="M22" s="1"/>
    </row>
    <row r="23" spans="1:13" ht="8.25" customHeight="1">
      <c r="A23" s="45"/>
      <c r="B23" s="26"/>
      <c r="C23" s="45"/>
      <c r="D23" s="3"/>
      <c r="E23" s="18"/>
      <c r="F23" s="5"/>
      <c r="G23" s="18"/>
      <c r="H23" s="5"/>
      <c r="I23" s="5"/>
      <c r="J23" s="21"/>
      <c r="K23" s="21"/>
      <c r="L23" s="21"/>
      <c r="M23" s="1"/>
    </row>
    <row r="24" spans="1:9" ht="27" customHeight="1">
      <c r="A24" s="45"/>
      <c r="B24" s="27" t="s">
        <v>16</v>
      </c>
      <c r="C24" s="45"/>
      <c r="D24" s="3"/>
      <c r="E24" s="4"/>
      <c r="F24" s="5">
        <f>SUM(F15:F23)</f>
        <v>0</v>
      </c>
      <c r="G24" s="4"/>
      <c r="H24" s="5">
        <f>SUM(H15:H23)</f>
        <v>0</v>
      </c>
      <c r="I24" s="5">
        <f>F24+H24</f>
        <v>0</v>
      </c>
    </row>
    <row r="25" spans="1:9" ht="5.25" customHeight="1">
      <c r="A25" s="166"/>
      <c r="B25" s="167"/>
      <c r="C25" s="167"/>
      <c r="D25" s="167"/>
      <c r="E25" s="167"/>
      <c r="F25" s="167"/>
      <c r="G25" s="167"/>
      <c r="H25" s="167"/>
      <c r="I25" s="168"/>
    </row>
    <row r="26" spans="1:9" ht="29.25" customHeight="1">
      <c r="A26" s="45"/>
      <c r="B26" s="27" t="s">
        <v>110</v>
      </c>
      <c r="C26" s="45"/>
      <c r="D26" s="3"/>
      <c r="E26" s="4"/>
      <c r="F26" s="5"/>
      <c r="G26" s="4"/>
      <c r="H26" s="5"/>
      <c r="I26" s="5">
        <f>F26+H26</f>
        <v>0</v>
      </c>
    </row>
    <row r="27" spans="1:9" ht="33.75" customHeight="1">
      <c r="A27" s="76"/>
      <c r="B27" s="28" t="s">
        <v>147</v>
      </c>
      <c r="C27" s="22">
        <v>0</v>
      </c>
      <c r="D27" s="3"/>
      <c r="E27" s="4"/>
      <c r="F27" s="5"/>
      <c r="G27" s="4"/>
      <c r="H27" s="23"/>
      <c r="I27" s="5">
        <f>F26*C27</f>
        <v>0</v>
      </c>
    </row>
    <row r="28" spans="1:9" ht="25.5" customHeight="1">
      <c r="A28" s="76"/>
      <c r="B28" s="28" t="s">
        <v>13</v>
      </c>
      <c r="C28" s="76"/>
      <c r="D28" s="3"/>
      <c r="E28" s="4"/>
      <c r="F28" s="5"/>
      <c r="G28" s="4"/>
      <c r="H28" s="23"/>
      <c r="I28" s="5">
        <f>I26+I27</f>
        <v>0</v>
      </c>
    </row>
    <row r="29" spans="1:9" ht="25.5" customHeight="1">
      <c r="A29" s="76"/>
      <c r="B29" s="28" t="s">
        <v>146</v>
      </c>
      <c r="C29" s="22">
        <v>0</v>
      </c>
      <c r="D29" s="3"/>
      <c r="E29" s="4"/>
      <c r="F29" s="5"/>
      <c r="G29" s="4"/>
      <c r="H29" s="23"/>
      <c r="I29" s="5">
        <f>I28*C29</f>
        <v>0</v>
      </c>
    </row>
    <row r="30" spans="1:9" ht="25.5" customHeight="1">
      <c r="A30" s="76"/>
      <c r="B30" s="28" t="s">
        <v>13</v>
      </c>
      <c r="C30" s="76"/>
      <c r="D30" s="3"/>
      <c r="E30" s="4"/>
      <c r="F30" s="5"/>
      <c r="G30" s="4"/>
      <c r="H30" s="23"/>
      <c r="I30" s="5">
        <f>I28+I29</f>
        <v>0</v>
      </c>
    </row>
    <row r="31" spans="1:9" ht="25.5" customHeight="1">
      <c r="A31" s="76"/>
      <c r="B31" s="28" t="s">
        <v>93</v>
      </c>
      <c r="C31" s="24">
        <v>0</v>
      </c>
      <c r="D31" s="3"/>
      <c r="E31" s="4"/>
      <c r="F31" s="5"/>
      <c r="G31" s="4"/>
      <c r="H31" s="23"/>
      <c r="I31" s="5">
        <f>I30*C31</f>
        <v>0</v>
      </c>
    </row>
    <row r="32" spans="1:9" ht="25.5" customHeight="1">
      <c r="A32" s="76"/>
      <c r="B32" s="28" t="s">
        <v>2</v>
      </c>
      <c r="C32" s="76"/>
      <c r="D32" s="3"/>
      <c r="E32" s="4"/>
      <c r="F32" s="5"/>
      <c r="G32" s="4"/>
      <c r="H32" s="23"/>
      <c r="I32" s="5">
        <f>I31+I30</f>
        <v>0</v>
      </c>
    </row>
    <row r="33" spans="1:9" ht="25.5" customHeight="1">
      <c r="A33" s="76"/>
      <c r="B33" s="28" t="s">
        <v>94</v>
      </c>
      <c r="C33" s="24">
        <v>0</v>
      </c>
      <c r="D33" s="3"/>
      <c r="E33" s="4"/>
      <c r="F33" s="5"/>
      <c r="G33" s="4"/>
      <c r="H33" s="23"/>
      <c r="I33" s="5">
        <f>I32*C33</f>
        <v>0</v>
      </c>
    </row>
    <row r="34" spans="1:9" ht="25.5" customHeight="1">
      <c r="A34" s="76"/>
      <c r="B34" s="28" t="s">
        <v>2</v>
      </c>
      <c r="C34" s="76"/>
      <c r="D34" s="3"/>
      <c r="E34" s="4"/>
      <c r="F34" s="5"/>
      <c r="G34" s="4"/>
      <c r="H34" s="23"/>
      <c r="I34" s="5">
        <f>I33+I32</f>
        <v>0</v>
      </c>
    </row>
    <row r="35" spans="1:9" ht="25.5" customHeight="1">
      <c r="A35" s="76"/>
      <c r="B35" s="28" t="s">
        <v>95</v>
      </c>
      <c r="C35" s="24">
        <v>0.18</v>
      </c>
      <c r="D35" s="3"/>
      <c r="E35" s="4"/>
      <c r="F35" s="5"/>
      <c r="G35" s="4"/>
      <c r="H35" s="23"/>
      <c r="I35" s="5">
        <f>I34*C35</f>
        <v>0</v>
      </c>
    </row>
    <row r="36" spans="1:9" ht="25.5" customHeight="1">
      <c r="A36" s="76"/>
      <c r="B36" s="28" t="s">
        <v>35</v>
      </c>
      <c r="C36" s="76"/>
      <c r="D36" s="3"/>
      <c r="E36" s="4"/>
      <c r="F36" s="5"/>
      <c r="G36" s="4"/>
      <c r="H36" s="23"/>
      <c r="I36" s="5">
        <f>I35+I34</f>
        <v>0</v>
      </c>
    </row>
  </sheetData>
  <sheetProtection/>
  <mergeCells count="15">
    <mergeCell ref="A25:I25"/>
    <mergeCell ref="A14:I14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F6"/>
    <mergeCell ref="G6:H6"/>
    <mergeCell ref="I6:I7"/>
    <mergeCell ref="A9:I9"/>
  </mergeCells>
  <printOptions/>
  <pageMargins left="0.28" right="0.25" top="0.25" bottom="0.2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Gogi</dc:creator>
  <cp:keywords/>
  <dc:description/>
  <cp:lastModifiedBy>Levan Kalmakhelidze</cp:lastModifiedBy>
  <cp:lastPrinted>2019-08-19T03:39:29Z</cp:lastPrinted>
  <dcterms:created xsi:type="dcterms:W3CDTF">2006-10-30T14:38:29Z</dcterms:created>
  <dcterms:modified xsi:type="dcterms:W3CDTF">2019-11-21T06:09:33Z</dcterms:modified>
  <cp:category/>
  <cp:version/>
  <cp:contentType/>
  <cp:contentStatus/>
</cp:coreProperties>
</file>